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AKay-20\Desktop\"/>
    </mc:Choice>
  </mc:AlternateContent>
  <xr:revisionPtr revIDLastSave="0" documentId="8_{2668FC12-583F-4AB5-BB24-941E3B780104}" xr6:coauthVersionLast="36" xr6:coauthVersionMax="36" xr10:uidLastSave="{00000000-0000-0000-0000-000000000000}"/>
  <bookViews>
    <workbookView xWindow="23880" yWindow="-900" windowWidth="24240" windowHeight="13140" xr2:uid="{00000000-000D-0000-FFFF-FFFF00000000}"/>
  </bookViews>
  <sheets>
    <sheet name="SHIP" sheetId="1" r:id="rId1"/>
    <sheet name="HNDA" sheetId="3" r:id="rId2"/>
    <sheet name="Codes" sheetId="8" r:id="rId3"/>
  </sheets>
  <definedNames>
    <definedName name="_xlnm._FilterDatabase" localSheetId="0" hidden="1">SHIP!$A$5:$BM$154</definedName>
    <definedName name="Google_Sheet_Link_1060717412_2117980679" hidden="1">Z_E2B9DD21_C108_447F_AD7D_6D9F39B52885_.wvu.PrintArea</definedName>
    <definedName name="Google_Sheet_Link_1424322757_2117980679" hidden="1">Z_763FB377_2A2B_40B6_95FA_DD2F7DF8451C_.wvu.PrintArea</definedName>
    <definedName name="Google_Sheet_Link_1437303671_2117980679" hidden="1">Z_4152F0B9_19B5_4C6B_8D90_A0D2122B3DF4_.wvu.PrintArea</definedName>
    <definedName name="Google_Sheet_Link_1644530997_2117980679" hidden="1">Z_4152F0B9_19B5_4C6B_8D90_A0D2122B3DF4_.wvu.Cols</definedName>
    <definedName name="Google_Sheet_Link_630621001_2117980679" hidden="1">Z_885E3832_2392_4536_9D29_804F77E0898D_.wvu.PrintArea</definedName>
    <definedName name="Google_Sheet_Link_685326771_2117980679" hidden="1">Z_DE77D031_6D60_4F52_8270_9073ACBC13A3_.wvu.PrintArea</definedName>
    <definedName name="SLP_Status">#REF!</definedName>
    <definedName name="Z_060E8092_851C_4E22_8AD6_C369483183D2_.wvu.FilterData" localSheetId="0" hidden="1">SHIP!#REF!</definedName>
    <definedName name="Z_091E068A_ABFC_4394_9197_CD21B190F213_.wvu.FilterData" localSheetId="0" hidden="1">SHIP!$A$5:$BB$186</definedName>
    <definedName name="Z_21DEE4F9_25B2_40D3_B247_772ADBA86CE9_.wvu.FilterData" localSheetId="0" hidden="1">SHIP!#REF!</definedName>
    <definedName name="Z_246C3309_2F3F_4BFA_8788_BFA07AB7A25E_.wvu.FilterData" localSheetId="0" hidden="1">SHIP!$A$5:$BM$154</definedName>
    <definedName name="Z_258F6159_5653_4A41_82DC_000661787A8C_.wvu.FilterData" localSheetId="0" hidden="1">SHIP!$A$5:$BM$154</definedName>
    <definedName name="Z_4152F0B9_19B5_4C6B_8D90_A0D2122B3DF4_.wvu.Cols" localSheetId="0">SHIP!$BF:$BL</definedName>
    <definedName name="Z_4152F0B9_19B5_4C6B_8D90_A0D2122B3DF4_.wvu.PrintArea" localSheetId="0">SHIP!$A$1:$AY$159</definedName>
    <definedName name="Z_426B88EF_EAEF_4B2F_9A1A_40561C994C39_.wvu.FilterData" localSheetId="0" hidden="1">SHIP!$A$5:$BM$154</definedName>
    <definedName name="Z_42A3C551_A710_48BC_9025_6CC1E6F21B32_.wvu.FilterData" localSheetId="0" hidden="1">SHIP!$A$5:$BM$131</definedName>
    <definedName name="Z_51DF8EE5_A6B9_4822_8F40_23F7233E0655_.wvu.FilterData" localSheetId="0" hidden="1">SHIP!$A$5:$BF$186</definedName>
    <definedName name="Z_6936D4CB_4921_444A_B4FC_DFB2F2C1FA83_.wvu.FilterData" localSheetId="0" hidden="1">SHIP!$A$5:$BM$147</definedName>
    <definedName name="Z_6E8BD811_84D8_4D91_A870_1C9E394BB6E9_.wvu.FilterData" localSheetId="0" hidden="1">SHIP!$A$5:$BM$154</definedName>
    <definedName name="Z_763FB377_2A2B_40B6_95FA_DD2F7DF8451C_.wvu.PrintArea" localSheetId="0">SHIP!$A$1:$AY$159</definedName>
    <definedName name="Z_80092E88_1165_4815_9A36_B67600E1577B_.wvu.FilterData" localSheetId="0" hidden="1">SHIP!$A$5:$BM$157</definedName>
    <definedName name="Z_85E8FE72_B771_4599_89C6_AA78FF214C69_.wvu.FilterData" localSheetId="0" hidden="1">SHIP!$A$5:$BF$186</definedName>
    <definedName name="Z_885E3832_2392_4536_9D29_804F77E0898D_.wvu.PrintArea" localSheetId="0">SHIP!$A$1:$AY$159</definedName>
    <definedName name="Z_9CD47D08_7711_4911_B275_D0B61A345F69_.wvu.FilterData" localSheetId="0" hidden="1">SHIP!$A$5:$BM$145</definedName>
    <definedName name="Z_9D2547DD_9857_44D2_918C_5226B66C2027_.wvu.FilterData" localSheetId="0" hidden="1">SHIP!#REF!</definedName>
    <definedName name="Z_B67CFE32_9207_401B_B38B_AD1E07272F00_.wvu.FilterData" localSheetId="0" hidden="1">SHIP!$A$5:$BM$156</definedName>
    <definedName name="Z_C5C96300_C1F4_4BEB_B806_98478CEAFDCA_.wvu.FilterData" localSheetId="0" hidden="1">SHIP!#REF!</definedName>
    <definedName name="Z_CF70CE5B_251B_48AA_ADA5_7E512A531774_.wvu.FilterData" localSheetId="0" hidden="1">SHIP!$A$5:$BM$154</definedName>
    <definedName name="Z_D51A51C7_AEF7_4AD4_94AF_DEF7CFBE1AEF_.wvu.FilterData" localSheetId="0" hidden="1">SHIP!$F$158</definedName>
    <definedName name="Z_D5B67DCE_DF1C_4FD1_B746_0FE864BC62C5_.wvu.FilterData" localSheetId="0" hidden="1">SHIP!$A$5:$BM$154</definedName>
    <definedName name="Z_DE77D031_6D60_4F52_8270_9073ACBC13A3_.wvu.PrintArea" localSheetId="0">SHIP!$A$1:$BM$159</definedName>
    <definedName name="Z_E2B9DD21_C108_447F_AD7D_6D9F39B52885_.wvu.PrintArea" localSheetId="0">SHIP!$A$1:$AY$159</definedName>
    <definedName name="Z_ECDA673F_A132_4F48_B1B3_864898FBCA5F_.wvu.FilterData" localSheetId="0" hidden="1">SHIP!$A$5:$BM$154</definedName>
    <definedName name="Z_F0093033_422E_4EAA_9989_3A06A4B2917A_.wvu.FilterData" localSheetId="0" hidden="1">SHIP!$A$5:$BM$154</definedName>
    <definedName name="Z_FB0D0DB9_14D5_43B4_AD42_62319A02D296_.wvu.FilterData" localSheetId="0" hidden="1">SHIP!$A$5:$BM$154</definedName>
    <definedName name="Z_FC6AA2FA_5A9D_4206_A358_16D697F8C6C3_.wvu.FilterData" localSheetId="0" hidden="1">SHIP!$A$5:$BB$186</definedName>
  </definedNames>
  <calcPr calcId="191029"/>
  <customWorkbookViews>
    <customWorkbookView name="Filter 1" guid="{21DEE4F9-25B2-40D3-B247-772ADBA86CE9}" maximized="1" windowWidth="0" windowHeight="0" activeSheetId="0"/>
    <customWorkbookView name="Carmen Hunter - Personal View" guid="{51DF8EE5-A6B9-4822-8F40-23F7233E0655}" maximized="1" windowWidth="0" windowHeight="0" activeSheetId="0"/>
    <customWorkbookView name="Filter 3" guid="{060E8092-851C-4E22-8AD6-C369483183D2}" maximized="1" windowWidth="0" windowHeight="0" activeSheetId="0"/>
    <customWorkbookView name="Filter 2" guid="{B67CFE32-9207-401B-B38B-AD1E07272F00}" maximized="1" windowWidth="0" windowHeight="0" activeSheetId="0"/>
    <customWorkbookView name="Jennifer Fairnie - Personal View" guid="{80092E88-1165-4815-9A36-B67600E1577B}" maximized="1" windowWidth="0" windowHeight="0" activeSheetId="0"/>
    <customWorkbookView name="Filter 5" guid="{258F6159-5653-4A41-82DC-000661787A8C}" maximized="1" windowWidth="0" windowHeight="0" activeSheetId="0"/>
    <customWorkbookView name="Filter 4" guid="{FB0D0DB9-14D5-43B4-AD42-62319A02D296}" maximized="1" windowWidth="0" windowHeight="0" activeSheetId="0"/>
    <customWorkbookView name="Filter 7" guid="{9CD47D08-7711-4911-B275-D0B61A345F69}" maximized="1" windowWidth="0" windowHeight="0" activeSheetId="0"/>
    <customWorkbookView name="Filter 6" guid="{42A3C551-A710-48BC-9025-6CC1E6F21B32}" maximized="1" windowWidth="0" windowHeight="0" activeSheetId="0"/>
    <customWorkbookView name="Filter 9" guid="{6936D4CB-4921-444A-B4FC-DFB2F2C1FA83}" maximized="1" windowWidth="0" windowHeight="0" activeSheetId="0"/>
    <customWorkbookView name="Filter 10" guid="{D51A51C7-AEF7-4AD4-94AF-DEF7CFBE1AEF}" maximized="1" windowWidth="0" windowHeight="0" activeSheetId="0"/>
    <customWorkbookView name="Julie Watson - Personal View" guid="{091E068A-ABFC-4394-9197-CD21B190F213}" maximized="1" windowWidth="0" windowHeight="0" activeSheetId="0"/>
    <customWorkbookView name="Filter 8" guid="{9D2547DD-9857-44D2-918C-5226B66C2027}" maximized="1" windowWidth="0" windowHeight="0" activeSheetId="0"/>
    <customWorkbookView name="Claire Mackinlay - Personal View" guid="{FC6AA2FA-5A9D-4206-A358-16D697F8C6C3}" maximized="1" windowWidth="0" windowHeight="0" activeSheetId="0"/>
    <customWorkbookView name="Filter 18" guid="{6E8BD811-84D8-4D91-A870-1C9E394BB6E9}" maximized="1" windowWidth="0" windowHeight="0" activeSheetId="0"/>
    <customWorkbookView name="Filter 17" guid="{426B88EF-EAEF-4B2F-9A1A-40561C994C39}" maximized="1" windowWidth="0" windowHeight="0" activeSheetId="0"/>
    <customWorkbookView name="Filter 16" guid="{246C3309-2F3F-4BFA-8788-BFA07AB7A25E}" maximized="1" windowWidth="0" windowHeight="0" activeSheetId="0"/>
    <customWorkbookView name="Filter 15" guid="{ECDA673F-A132-4F48-B1B3-864898FBCA5F}" maximized="1" windowWidth="0" windowHeight="0" activeSheetId="0"/>
    <customWorkbookView name="Scott Kirkpatrick - Personal View" guid="{85E8FE72-B771-4599-89C6-AA78FF214C69}" maximized="1" windowWidth="0" windowHeight="0" activeSheetId="0"/>
    <customWorkbookView name="Filter 14" guid="{D5B67DCE-DF1C-4FD1-B746-0FE864BC62C5}" maximized="1" windowWidth="0" windowHeight="0" activeSheetId="0"/>
    <customWorkbookView name="Filter 13" guid="{CF70CE5B-251B-48AA-ADA5-7E512A531774}" maximized="1" windowWidth="0" windowHeight="0" activeSheetId="0"/>
    <customWorkbookView name="Filter 12" guid="{C5C96300-C1F4-4BEB-B806-98478CEAFDCA}" maximized="1" windowWidth="0" windowHeight="0" activeSheetId="0"/>
    <customWorkbookView name="Filter 11" guid="{F0093033-422E-4EAA-9989-3A06A4B2917A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2" roundtripDataSignature="AMtx7miGqdqsM65Y5XziQIfBjugwgjVwlg=="/>
    </ext>
  </extLst>
</workbook>
</file>

<file path=xl/calcChain.xml><?xml version="1.0" encoding="utf-8"?>
<calcChain xmlns="http://schemas.openxmlformats.org/spreadsheetml/2006/main">
  <c r="AW93" i="1" l="1"/>
  <c r="AW135" i="1"/>
  <c r="AW96" i="1"/>
  <c r="BA96" i="1" s="1"/>
  <c r="BB96" i="1" s="1"/>
  <c r="BB68" i="1"/>
  <c r="AW149" i="1"/>
  <c r="AW150" i="1"/>
  <c r="AW151" i="1"/>
  <c r="AW152" i="1"/>
  <c r="AW153" i="1"/>
  <c r="AW154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36" i="1"/>
  <c r="AW126" i="1"/>
  <c r="AW127" i="1"/>
  <c r="AW128" i="1"/>
  <c r="AW129" i="1"/>
  <c r="AW130" i="1"/>
  <c r="AW131" i="1"/>
  <c r="AW132" i="1"/>
  <c r="AW133" i="1"/>
  <c r="AW134" i="1"/>
  <c r="AW120" i="1"/>
  <c r="AW121" i="1"/>
  <c r="AW122" i="1"/>
  <c r="AW123" i="1"/>
  <c r="AW124" i="1"/>
  <c r="AW125" i="1"/>
  <c r="AW114" i="1"/>
  <c r="AW115" i="1"/>
  <c r="AW116" i="1"/>
  <c r="AW117" i="1"/>
  <c r="AW118" i="1"/>
  <c r="AW119" i="1"/>
  <c r="AW109" i="1"/>
  <c r="AW110" i="1"/>
  <c r="AW111" i="1"/>
  <c r="AW112" i="1"/>
  <c r="AW113" i="1"/>
  <c r="AW105" i="1"/>
  <c r="AW106" i="1"/>
  <c r="AW107" i="1"/>
  <c r="AW108" i="1"/>
  <c r="AW101" i="1"/>
  <c r="AW102" i="1"/>
  <c r="AW103" i="1"/>
  <c r="AW104" i="1"/>
  <c r="AW98" i="1"/>
  <c r="AW99" i="1"/>
  <c r="AW100" i="1"/>
  <c r="AW97" i="1"/>
  <c r="AW95" i="1"/>
  <c r="AW94" i="1"/>
  <c r="AW90" i="1"/>
  <c r="AW91" i="1"/>
  <c r="AW92" i="1"/>
  <c r="AW87" i="1"/>
  <c r="AW88" i="1"/>
  <c r="AW89" i="1"/>
  <c r="AW83" i="1"/>
  <c r="AW84" i="1"/>
  <c r="AW85" i="1"/>
  <c r="AW86" i="1"/>
  <c r="AW80" i="1"/>
  <c r="AW81" i="1"/>
  <c r="AW77" i="1"/>
  <c r="AW78" i="1"/>
  <c r="AW79" i="1"/>
  <c r="AW74" i="1"/>
  <c r="AW75" i="1"/>
  <c r="AW76" i="1"/>
  <c r="AW71" i="1"/>
  <c r="AW72" i="1"/>
  <c r="AW73" i="1"/>
  <c r="AW68" i="1"/>
  <c r="AW69" i="1"/>
  <c r="AW70" i="1"/>
  <c r="AW65" i="1"/>
  <c r="AW66" i="1"/>
  <c r="AW67" i="1"/>
  <c r="AW62" i="1"/>
  <c r="AW63" i="1"/>
  <c r="AW64" i="1"/>
  <c r="AW59" i="1"/>
  <c r="AW60" i="1"/>
  <c r="AW61" i="1"/>
  <c r="AW56" i="1"/>
  <c r="AW57" i="1"/>
  <c r="AW58" i="1"/>
  <c r="AW53" i="1"/>
  <c r="AW54" i="1"/>
  <c r="AW55" i="1"/>
  <c r="AW49" i="1"/>
  <c r="AW50" i="1"/>
  <c r="AW51" i="1"/>
  <c r="AW52" i="1"/>
  <c r="AW45" i="1"/>
  <c r="AW47" i="1"/>
  <c r="AW48" i="1"/>
  <c r="AW41" i="1"/>
  <c r="AW42" i="1"/>
  <c r="AW43" i="1"/>
  <c r="AW44" i="1"/>
  <c r="AW37" i="1"/>
  <c r="AW38" i="1"/>
  <c r="AW39" i="1"/>
  <c r="AW40" i="1"/>
  <c r="AW33" i="1"/>
  <c r="AW34" i="1"/>
  <c r="AW35" i="1"/>
  <c r="AW36" i="1"/>
  <c r="AW30" i="1"/>
  <c r="AW31" i="1"/>
  <c r="AW32" i="1"/>
  <c r="AW27" i="1"/>
  <c r="AW28" i="1"/>
  <c r="AW29" i="1"/>
  <c r="AW23" i="1"/>
  <c r="AW24" i="1"/>
  <c r="AW25" i="1"/>
  <c r="AW26" i="1"/>
  <c r="AW20" i="1"/>
  <c r="AW21" i="1"/>
  <c r="AW22" i="1"/>
  <c r="AW17" i="1"/>
  <c r="AW18" i="1"/>
  <c r="AW19" i="1"/>
  <c r="AW14" i="1"/>
  <c r="AW15" i="1"/>
  <c r="AW16" i="1"/>
  <c r="AW10" i="1"/>
  <c r="AW11" i="1"/>
  <c r="AW12" i="1"/>
  <c r="AW13" i="1"/>
  <c r="AW7" i="1"/>
  <c r="AW8" i="1"/>
  <c r="AW9" i="1"/>
  <c r="AW6" i="1"/>
  <c r="BK27" i="1" l="1"/>
  <c r="BJ27" i="1"/>
  <c r="BI27" i="1"/>
  <c r="BA27" i="1"/>
  <c r="BB27" i="1" s="1"/>
  <c r="AJ27" i="1"/>
  <c r="AI27" i="1"/>
  <c r="BL27" i="1" l="1"/>
  <c r="AI60" i="1"/>
  <c r="AI62" i="1"/>
  <c r="AP156" i="1"/>
  <c r="AV156" i="1"/>
  <c r="N100" i="1" l="1"/>
  <c r="BK116" i="1"/>
  <c r="BJ116" i="1"/>
  <c r="BI116" i="1"/>
  <c r="BJ16" i="1"/>
  <c r="BI16" i="1"/>
  <c r="BK16" i="1"/>
  <c r="BL116" i="1" l="1"/>
  <c r="BL16" i="1"/>
  <c r="AI68" i="1"/>
  <c r="AI131" i="1"/>
  <c r="AI110" i="1"/>
  <c r="AB131" i="1"/>
  <c r="AJ131" i="1" s="1"/>
  <c r="U131" i="1"/>
  <c r="N131" i="1"/>
  <c r="AJ68" i="1"/>
  <c r="BK68" i="1" l="1"/>
  <c r="BJ68" i="1"/>
  <c r="BI68" i="1"/>
  <c r="E15" i="3"/>
  <c r="D15" i="3"/>
  <c r="C15" i="3"/>
  <c r="F14" i="3"/>
  <c r="J14" i="3" s="1"/>
  <c r="E14" i="3"/>
  <c r="D14" i="3"/>
  <c r="F13" i="3"/>
  <c r="I13" i="3" s="1"/>
  <c r="E13" i="3"/>
  <c r="D13" i="3"/>
  <c r="F12" i="3"/>
  <c r="H12" i="3" s="1"/>
  <c r="E12" i="3"/>
  <c r="D12" i="3"/>
  <c r="F11" i="3"/>
  <c r="E11" i="3"/>
  <c r="D11" i="3"/>
  <c r="F10" i="3"/>
  <c r="I10" i="3" s="1"/>
  <c r="E10" i="3"/>
  <c r="D10" i="3"/>
  <c r="F9" i="3"/>
  <c r="I9" i="3" s="1"/>
  <c r="E9" i="3"/>
  <c r="D9" i="3"/>
  <c r="F8" i="3"/>
  <c r="K8" i="3" s="1"/>
  <c r="E8" i="3"/>
  <c r="D8" i="3"/>
  <c r="F7" i="3"/>
  <c r="E7" i="3"/>
  <c r="D7" i="3"/>
  <c r="F6" i="3"/>
  <c r="I6" i="3" s="1"/>
  <c r="E6" i="3"/>
  <c r="D6" i="3"/>
  <c r="F5" i="3"/>
  <c r="K5" i="3" s="1"/>
  <c r="E5" i="3"/>
  <c r="D5" i="3"/>
  <c r="AY156" i="1"/>
  <c r="AX156" i="1"/>
  <c r="AU156" i="1"/>
  <c r="AT156" i="1"/>
  <c r="AR156" i="1"/>
  <c r="J156" i="1"/>
  <c r="BK154" i="1"/>
  <c r="BJ154" i="1"/>
  <c r="BI154" i="1"/>
  <c r="BA154" i="1"/>
  <c r="BB154" i="1" s="1"/>
  <c r="AI154" i="1"/>
  <c r="AB154" i="1"/>
  <c r="AJ154" i="1" s="1"/>
  <c r="U154" i="1"/>
  <c r="N154" i="1"/>
  <c r="BK153" i="1"/>
  <c r="BJ153" i="1"/>
  <c r="BI153" i="1"/>
  <c r="BA153" i="1"/>
  <c r="BB153" i="1" s="1"/>
  <c r="AI153" i="1"/>
  <c r="AB153" i="1"/>
  <c r="AJ153" i="1" s="1"/>
  <c r="U153" i="1"/>
  <c r="N153" i="1"/>
  <c r="BK152" i="1"/>
  <c r="BJ152" i="1"/>
  <c r="BI152" i="1"/>
  <c r="BA152" i="1"/>
  <c r="BB152" i="1" s="1"/>
  <c r="AB152" i="1"/>
  <c r="U152" i="1"/>
  <c r="N152" i="1"/>
  <c r="BK151" i="1"/>
  <c r="BJ151" i="1"/>
  <c r="BI151" i="1"/>
  <c r="BA151" i="1"/>
  <c r="BB151" i="1" s="1"/>
  <c r="AI151" i="1"/>
  <c r="AB151" i="1"/>
  <c r="AJ151" i="1" s="1"/>
  <c r="U151" i="1"/>
  <c r="N151" i="1"/>
  <c r="BK148" i="1"/>
  <c r="BJ148" i="1"/>
  <c r="BI148" i="1"/>
  <c r="BA148" i="1"/>
  <c r="BB148" i="1" s="1"/>
  <c r="AB148" i="1"/>
  <c r="U148" i="1"/>
  <c r="N148" i="1"/>
  <c r="BK150" i="1"/>
  <c r="BJ150" i="1"/>
  <c r="BI150" i="1"/>
  <c r="BA150" i="1"/>
  <c r="BB150" i="1" s="1"/>
  <c r="AB150" i="1"/>
  <c r="AJ150" i="1" s="1"/>
  <c r="U150" i="1"/>
  <c r="N150" i="1"/>
  <c r="BK149" i="1"/>
  <c r="BJ149" i="1"/>
  <c r="BI149" i="1"/>
  <c r="BA149" i="1"/>
  <c r="BB149" i="1" s="1"/>
  <c r="AB149" i="1"/>
  <c r="AJ149" i="1" s="1"/>
  <c r="U149" i="1"/>
  <c r="N149" i="1"/>
  <c r="BK147" i="1"/>
  <c r="BJ147" i="1"/>
  <c r="BI147" i="1"/>
  <c r="BA147" i="1"/>
  <c r="BB147" i="1" s="1"/>
  <c r="AB147" i="1"/>
  <c r="AJ147" i="1" s="1"/>
  <c r="U147" i="1"/>
  <c r="N147" i="1"/>
  <c r="BK146" i="1"/>
  <c r="BJ146" i="1"/>
  <c r="BI146" i="1"/>
  <c r="BA146" i="1"/>
  <c r="BB146" i="1" s="1"/>
  <c r="AB146" i="1"/>
  <c r="AJ146" i="1" s="1"/>
  <c r="U146" i="1"/>
  <c r="N146" i="1"/>
  <c r="BK145" i="1"/>
  <c r="BJ145" i="1"/>
  <c r="BI145" i="1"/>
  <c r="BA145" i="1"/>
  <c r="BB145" i="1" s="1"/>
  <c r="AI145" i="1"/>
  <c r="AB145" i="1"/>
  <c r="AJ145" i="1" s="1"/>
  <c r="U145" i="1"/>
  <c r="N145" i="1"/>
  <c r="BK144" i="1"/>
  <c r="BJ144" i="1"/>
  <c r="BI144" i="1"/>
  <c r="BA144" i="1"/>
  <c r="BB144" i="1" s="1"/>
  <c r="AI144" i="1"/>
  <c r="AB144" i="1"/>
  <c r="AJ144" i="1" s="1"/>
  <c r="U144" i="1"/>
  <c r="N144" i="1"/>
  <c r="BK140" i="1"/>
  <c r="BJ140" i="1"/>
  <c r="BI140" i="1"/>
  <c r="BA140" i="1"/>
  <c r="BB140" i="1" s="1"/>
  <c r="AB140" i="1"/>
  <c r="AJ140" i="1" s="1"/>
  <c r="U140" i="1"/>
  <c r="N140" i="1"/>
  <c r="BK139" i="1"/>
  <c r="BJ139" i="1"/>
  <c r="BI139" i="1"/>
  <c r="BA139" i="1"/>
  <c r="BB139" i="1" s="1"/>
  <c r="AB139" i="1"/>
  <c r="AJ139" i="1" s="1"/>
  <c r="U139" i="1"/>
  <c r="N139" i="1"/>
  <c r="BK141" i="1"/>
  <c r="BJ141" i="1"/>
  <c r="BI141" i="1"/>
  <c r="BA141" i="1"/>
  <c r="BB141" i="1" s="1"/>
  <c r="AB141" i="1"/>
  <c r="U141" i="1"/>
  <c r="N141" i="1"/>
  <c r="BK143" i="1"/>
  <c r="BJ143" i="1"/>
  <c r="BI143" i="1"/>
  <c r="BA143" i="1"/>
  <c r="BB143" i="1" s="1"/>
  <c r="AB143" i="1"/>
  <c r="U143" i="1"/>
  <c r="N143" i="1"/>
  <c r="BK138" i="1"/>
  <c r="BJ138" i="1"/>
  <c r="BI138" i="1"/>
  <c r="BA138" i="1"/>
  <c r="BB138" i="1" s="1"/>
  <c r="AI138" i="1"/>
  <c r="AB138" i="1"/>
  <c r="U138" i="1"/>
  <c r="N138" i="1"/>
  <c r="BK142" i="1"/>
  <c r="BJ142" i="1"/>
  <c r="BI142" i="1"/>
  <c r="BA142" i="1"/>
  <c r="BB142" i="1" s="1"/>
  <c r="AB142" i="1"/>
  <c r="AJ142" i="1" s="1"/>
  <c r="U142" i="1"/>
  <c r="N142" i="1"/>
  <c r="BK137" i="1"/>
  <c r="BJ137" i="1"/>
  <c r="BI137" i="1"/>
  <c r="BA137" i="1"/>
  <c r="BB137" i="1" s="1"/>
  <c r="AI137" i="1"/>
  <c r="AB137" i="1"/>
  <c r="AJ137" i="1" s="1"/>
  <c r="U137" i="1"/>
  <c r="N137" i="1"/>
  <c r="BK136" i="1"/>
  <c r="BJ136" i="1"/>
  <c r="BI136" i="1"/>
  <c r="BA136" i="1"/>
  <c r="BB136" i="1" s="1"/>
  <c r="AB136" i="1"/>
  <c r="AJ136" i="1" s="1"/>
  <c r="BK135" i="1"/>
  <c r="BJ135" i="1"/>
  <c r="BI135" i="1"/>
  <c r="BA135" i="1"/>
  <c r="BB135" i="1" s="1"/>
  <c r="BK131" i="1"/>
  <c r="BJ131" i="1"/>
  <c r="BI131" i="1"/>
  <c r="BA131" i="1"/>
  <c r="BB131" i="1" s="1"/>
  <c r="BK134" i="1"/>
  <c r="BJ134" i="1"/>
  <c r="BI134" i="1"/>
  <c r="BA134" i="1"/>
  <c r="BB134" i="1" s="1"/>
  <c r="AI134" i="1"/>
  <c r="AB134" i="1"/>
  <c r="AJ134" i="1" s="1"/>
  <c r="U134" i="1"/>
  <c r="N134" i="1"/>
  <c r="BK133" i="1"/>
  <c r="BJ133" i="1"/>
  <c r="BI133" i="1"/>
  <c r="BA133" i="1"/>
  <c r="BB133" i="1" s="1"/>
  <c r="AI133" i="1"/>
  <c r="AB133" i="1"/>
  <c r="U133" i="1"/>
  <c r="BK132" i="1"/>
  <c r="BJ132" i="1"/>
  <c r="BI132" i="1"/>
  <c r="BA132" i="1"/>
  <c r="BB132" i="1" s="1"/>
  <c r="AB132" i="1"/>
  <c r="AJ132" i="1" s="1"/>
  <c r="U132" i="1"/>
  <c r="N132" i="1"/>
  <c r="BK130" i="1"/>
  <c r="BJ130" i="1"/>
  <c r="BI130" i="1"/>
  <c r="BA130" i="1"/>
  <c r="BB130" i="1" s="1"/>
  <c r="AI130" i="1"/>
  <c r="AB130" i="1"/>
  <c r="AJ130" i="1" s="1"/>
  <c r="U130" i="1"/>
  <c r="N130" i="1"/>
  <c r="BK129" i="1"/>
  <c r="BJ129" i="1"/>
  <c r="BI129" i="1"/>
  <c r="BA129" i="1"/>
  <c r="BB129" i="1" s="1"/>
  <c r="AI129" i="1"/>
  <c r="AB129" i="1"/>
  <c r="AJ129" i="1" s="1"/>
  <c r="U129" i="1"/>
  <c r="N129" i="1"/>
  <c r="BK128" i="1"/>
  <c r="BJ128" i="1"/>
  <c r="BI128" i="1"/>
  <c r="BA128" i="1"/>
  <c r="BB128" i="1" s="1"/>
  <c r="AI128" i="1"/>
  <c r="AB128" i="1"/>
  <c r="AJ128" i="1" s="1"/>
  <c r="U128" i="1"/>
  <c r="N128" i="1"/>
  <c r="BK127" i="1"/>
  <c r="BJ127" i="1"/>
  <c r="BI127" i="1"/>
  <c r="BA127" i="1"/>
  <c r="BB127" i="1" s="1"/>
  <c r="AB127" i="1"/>
  <c r="AJ127" i="1" s="1"/>
  <c r="U127" i="1"/>
  <c r="N127" i="1"/>
  <c r="BK124" i="1"/>
  <c r="BJ124" i="1"/>
  <c r="BI124" i="1"/>
  <c r="BA124" i="1"/>
  <c r="BB124" i="1" s="1"/>
  <c r="AB124" i="1"/>
  <c r="AJ124" i="1" s="1"/>
  <c r="U124" i="1"/>
  <c r="N124" i="1"/>
  <c r="BK126" i="1"/>
  <c r="BJ126" i="1"/>
  <c r="BI126" i="1"/>
  <c r="BA126" i="1"/>
  <c r="BB126" i="1" s="1"/>
  <c r="AI126" i="1"/>
  <c r="AB126" i="1"/>
  <c r="AJ126" i="1" s="1"/>
  <c r="U126" i="1"/>
  <c r="N126" i="1"/>
  <c r="BK125" i="1"/>
  <c r="BJ125" i="1"/>
  <c r="BI125" i="1"/>
  <c r="BA125" i="1"/>
  <c r="BB125" i="1" s="1"/>
  <c r="AB125" i="1"/>
  <c r="AJ125" i="1" s="1"/>
  <c r="U125" i="1"/>
  <c r="N125" i="1"/>
  <c r="BK122" i="1"/>
  <c r="BJ122" i="1"/>
  <c r="BI122" i="1"/>
  <c r="BA122" i="1"/>
  <c r="BB122" i="1" s="1"/>
  <c r="AB122" i="1"/>
  <c r="AJ122" i="1" s="1"/>
  <c r="U122" i="1"/>
  <c r="N122" i="1"/>
  <c r="BK123" i="1"/>
  <c r="BJ123" i="1"/>
  <c r="BI123" i="1"/>
  <c r="BA123" i="1"/>
  <c r="BB123" i="1" s="1"/>
  <c r="AI123" i="1"/>
  <c r="AB123" i="1"/>
  <c r="AJ123" i="1" s="1"/>
  <c r="U123" i="1"/>
  <c r="N123" i="1"/>
  <c r="BK121" i="1"/>
  <c r="BJ121" i="1"/>
  <c r="BI121" i="1"/>
  <c r="BA121" i="1"/>
  <c r="BB121" i="1" s="1"/>
  <c r="AB121" i="1"/>
  <c r="AJ121" i="1" s="1"/>
  <c r="U121" i="1"/>
  <c r="N121" i="1"/>
  <c r="BK120" i="1"/>
  <c r="BJ120" i="1"/>
  <c r="BI120" i="1"/>
  <c r="BA120" i="1"/>
  <c r="BB120" i="1" s="1"/>
  <c r="AI120" i="1"/>
  <c r="AB120" i="1"/>
  <c r="AJ120" i="1" s="1"/>
  <c r="U120" i="1"/>
  <c r="N120" i="1"/>
  <c r="BK119" i="1"/>
  <c r="BJ119" i="1"/>
  <c r="BI119" i="1"/>
  <c r="BA119" i="1"/>
  <c r="BB119" i="1" s="1"/>
  <c r="AJ119" i="1"/>
  <c r="BK117" i="1"/>
  <c r="BJ117" i="1"/>
  <c r="BI117" i="1"/>
  <c r="BA117" i="1"/>
  <c r="BB117" i="1" s="1"/>
  <c r="AB117" i="1"/>
  <c r="AJ117" i="1" s="1"/>
  <c r="U117" i="1"/>
  <c r="N117" i="1"/>
  <c r="BK118" i="1"/>
  <c r="BJ118" i="1"/>
  <c r="BI118" i="1"/>
  <c r="BA118" i="1"/>
  <c r="BB118" i="1" s="1"/>
  <c r="AI118" i="1"/>
  <c r="AB118" i="1"/>
  <c r="AJ118" i="1" s="1"/>
  <c r="U118" i="1"/>
  <c r="N118" i="1"/>
  <c r="BA116" i="1"/>
  <c r="BB116" i="1" s="1"/>
  <c r="AI116" i="1"/>
  <c r="AB116" i="1"/>
  <c r="AJ116" i="1" s="1"/>
  <c r="U116" i="1"/>
  <c r="N116" i="1"/>
  <c r="BK115" i="1"/>
  <c r="BJ115" i="1"/>
  <c r="BI115" i="1"/>
  <c r="BA115" i="1"/>
  <c r="BB115" i="1" s="1"/>
  <c r="AI115" i="1"/>
  <c r="AB115" i="1"/>
  <c r="AJ115" i="1" s="1"/>
  <c r="U115" i="1"/>
  <c r="N115" i="1"/>
  <c r="BK114" i="1"/>
  <c r="BJ114" i="1"/>
  <c r="BI114" i="1"/>
  <c r="BA114" i="1"/>
  <c r="BB114" i="1" s="1"/>
  <c r="AI114" i="1"/>
  <c r="AB114" i="1"/>
  <c r="AJ114" i="1" s="1"/>
  <c r="U114" i="1"/>
  <c r="N114" i="1"/>
  <c r="BK113" i="1"/>
  <c r="BJ113" i="1"/>
  <c r="BI113" i="1"/>
  <c r="BA113" i="1"/>
  <c r="BB113" i="1" s="1"/>
  <c r="AI113" i="1"/>
  <c r="AB113" i="1"/>
  <c r="AJ113" i="1" s="1"/>
  <c r="U113" i="1"/>
  <c r="N113" i="1"/>
  <c r="BK112" i="1"/>
  <c r="BJ112" i="1"/>
  <c r="BI112" i="1"/>
  <c r="BA112" i="1"/>
  <c r="BB112" i="1" s="1"/>
  <c r="AI112" i="1"/>
  <c r="AB112" i="1"/>
  <c r="AJ112" i="1" s="1"/>
  <c r="U112" i="1"/>
  <c r="N112" i="1"/>
  <c r="BK111" i="1"/>
  <c r="BJ111" i="1"/>
  <c r="BI111" i="1"/>
  <c r="BA111" i="1"/>
  <c r="BB111" i="1" s="1"/>
  <c r="AI111" i="1"/>
  <c r="AB111" i="1"/>
  <c r="AJ111" i="1" s="1"/>
  <c r="U111" i="1"/>
  <c r="N111" i="1"/>
  <c r="BK110" i="1"/>
  <c r="BJ110" i="1"/>
  <c r="BI110" i="1"/>
  <c r="BA110" i="1"/>
  <c r="BB110" i="1" s="1"/>
  <c r="AB110" i="1"/>
  <c r="AJ110" i="1" s="1"/>
  <c r="U110" i="1"/>
  <c r="N110" i="1"/>
  <c r="BK109" i="1"/>
  <c r="BJ109" i="1"/>
  <c r="BI109" i="1"/>
  <c r="BA109" i="1"/>
  <c r="BB109" i="1" s="1"/>
  <c r="AI109" i="1"/>
  <c r="AB109" i="1"/>
  <c r="AJ109" i="1" s="1"/>
  <c r="U109" i="1"/>
  <c r="N109" i="1"/>
  <c r="BK106" i="1"/>
  <c r="BJ106" i="1"/>
  <c r="BI106" i="1"/>
  <c r="BA106" i="1"/>
  <c r="BB106" i="1" s="1"/>
  <c r="AI106" i="1"/>
  <c r="AB106" i="1"/>
  <c r="AJ106" i="1" s="1"/>
  <c r="U106" i="1"/>
  <c r="N106" i="1"/>
  <c r="BK103" i="1"/>
  <c r="BJ103" i="1"/>
  <c r="BI103" i="1"/>
  <c r="BA103" i="1"/>
  <c r="BB103" i="1" s="1"/>
  <c r="AI103" i="1"/>
  <c r="AB103" i="1"/>
  <c r="AJ103" i="1" s="1"/>
  <c r="U103" i="1"/>
  <c r="N103" i="1"/>
  <c r="BK108" i="1"/>
  <c r="BJ108" i="1"/>
  <c r="BI108" i="1"/>
  <c r="BA108" i="1"/>
  <c r="BB108" i="1" s="1"/>
  <c r="AI108" i="1"/>
  <c r="AB108" i="1"/>
  <c r="AJ108" i="1" s="1"/>
  <c r="U108" i="1"/>
  <c r="N108" i="1"/>
  <c r="BK99" i="1"/>
  <c r="BJ99" i="1"/>
  <c r="BI99" i="1"/>
  <c r="BA99" i="1"/>
  <c r="BB99" i="1" s="1"/>
  <c r="AB99" i="1"/>
  <c r="AJ99" i="1" s="1"/>
  <c r="U99" i="1"/>
  <c r="N99" i="1"/>
  <c r="BK105" i="1"/>
  <c r="BJ105" i="1"/>
  <c r="BI105" i="1"/>
  <c r="BA105" i="1"/>
  <c r="BB105" i="1" s="1"/>
  <c r="AI105" i="1"/>
  <c r="AB105" i="1"/>
  <c r="AJ105" i="1" s="1"/>
  <c r="U105" i="1"/>
  <c r="N105" i="1"/>
  <c r="BK107" i="1"/>
  <c r="BJ107" i="1"/>
  <c r="BI107" i="1"/>
  <c r="BA107" i="1"/>
  <c r="BB107" i="1" s="1"/>
  <c r="AB107" i="1"/>
  <c r="AJ107" i="1" s="1"/>
  <c r="U107" i="1"/>
  <c r="N107" i="1"/>
  <c r="BK104" i="1"/>
  <c r="BJ104" i="1"/>
  <c r="BI104" i="1"/>
  <c r="BA104" i="1"/>
  <c r="BB104" i="1" s="1"/>
  <c r="AB104" i="1"/>
  <c r="AJ104" i="1" s="1"/>
  <c r="U104" i="1"/>
  <c r="N104" i="1"/>
  <c r="BK102" i="1"/>
  <c r="BJ102" i="1"/>
  <c r="BI102" i="1"/>
  <c r="BA102" i="1"/>
  <c r="BB102" i="1" s="1"/>
  <c r="AI102" i="1"/>
  <c r="AB102" i="1"/>
  <c r="AJ102" i="1" s="1"/>
  <c r="U102" i="1"/>
  <c r="N102" i="1"/>
  <c r="BK101" i="1"/>
  <c r="BJ101" i="1"/>
  <c r="BI101" i="1"/>
  <c r="BA101" i="1"/>
  <c r="BB101" i="1" s="1"/>
  <c r="AI101" i="1"/>
  <c r="AB101" i="1"/>
  <c r="AJ101" i="1" s="1"/>
  <c r="U101" i="1"/>
  <c r="N101" i="1"/>
  <c r="BK100" i="1"/>
  <c r="BJ100" i="1"/>
  <c r="BI100" i="1"/>
  <c r="BA100" i="1"/>
  <c r="BB100" i="1" s="1"/>
  <c r="AB100" i="1"/>
  <c r="AJ100" i="1" s="1"/>
  <c r="U100" i="1"/>
  <c r="BK98" i="1"/>
  <c r="BJ98" i="1"/>
  <c r="BI98" i="1"/>
  <c r="BA98" i="1"/>
  <c r="BB98" i="1" s="1"/>
  <c r="AB98" i="1"/>
  <c r="AJ98" i="1" s="1"/>
  <c r="U98" i="1"/>
  <c r="N98" i="1"/>
  <c r="M98" i="1"/>
  <c r="AI98" i="1" s="1"/>
  <c r="BK97" i="1"/>
  <c r="BJ97" i="1"/>
  <c r="BI97" i="1"/>
  <c r="BA97" i="1"/>
  <c r="BB97" i="1" s="1"/>
  <c r="AI97" i="1"/>
  <c r="AB97" i="1"/>
  <c r="AJ97" i="1" s="1"/>
  <c r="U97" i="1"/>
  <c r="N97" i="1"/>
  <c r="BK95" i="1"/>
  <c r="BJ95" i="1"/>
  <c r="BI95" i="1"/>
  <c r="BA95" i="1"/>
  <c r="BB95" i="1" s="1"/>
  <c r="AB95" i="1"/>
  <c r="AJ95" i="1" s="1"/>
  <c r="U95" i="1"/>
  <c r="N95" i="1"/>
  <c r="BK96" i="1"/>
  <c r="BJ96" i="1"/>
  <c r="BI96" i="1"/>
  <c r="AB96" i="1"/>
  <c r="U96" i="1"/>
  <c r="N96" i="1"/>
  <c r="BK94" i="1"/>
  <c r="BJ94" i="1"/>
  <c r="BI94" i="1"/>
  <c r="BA94" i="1"/>
  <c r="BB94" i="1" s="1"/>
  <c r="AB94" i="1"/>
  <c r="AJ94" i="1" s="1"/>
  <c r="U94" i="1"/>
  <c r="N94" i="1"/>
  <c r="BK93" i="1"/>
  <c r="BJ93" i="1"/>
  <c r="BI93" i="1"/>
  <c r="BA93" i="1"/>
  <c r="BB93" i="1" s="1"/>
  <c r="AB93" i="1"/>
  <c r="U93" i="1"/>
  <c r="N93" i="1"/>
  <c r="BK91" i="1"/>
  <c r="BJ91" i="1"/>
  <c r="BI91" i="1"/>
  <c r="BA91" i="1"/>
  <c r="BB91" i="1" s="1"/>
  <c r="AB91" i="1"/>
  <c r="AJ91" i="1" s="1"/>
  <c r="U91" i="1"/>
  <c r="N91" i="1"/>
  <c r="BK92" i="1"/>
  <c r="BJ92" i="1"/>
  <c r="BI92" i="1"/>
  <c r="BA92" i="1"/>
  <c r="BB92" i="1" s="1"/>
  <c r="AB92" i="1"/>
  <c r="AJ92" i="1" s="1"/>
  <c r="U92" i="1"/>
  <c r="N92" i="1"/>
  <c r="BK89" i="1"/>
  <c r="BJ89" i="1"/>
  <c r="BI89" i="1"/>
  <c r="BA89" i="1"/>
  <c r="BB89" i="1" s="1"/>
  <c r="AI89" i="1"/>
  <c r="AB89" i="1"/>
  <c r="AJ89" i="1" s="1"/>
  <c r="U89" i="1"/>
  <c r="N89" i="1"/>
  <c r="BK90" i="1"/>
  <c r="BJ90" i="1"/>
  <c r="BI90" i="1"/>
  <c r="BA90" i="1"/>
  <c r="BB90" i="1" s="1"/>
  <c r="AI90" i="1"/>
  <c r="AB90" i="1"/>
  <c r="AJ90" i="1" s="1"/>
  <c r="U90" i="1"/>
  <c r="N90" i="1"/>
  <c r="BK88" i="1"/>
  <c r="BJ88" i="1"/>
  <c r="BI88" i="1"/>
  <c r="BA88" i="1"/>
  <c r="BB88" i="1" s="1"/>
  <c r="AB88" i="1"/>
  <c r="U88" i="1"/>
  <c r="N88" i="1"/>
  <c r="BK87" i="1"/>
  <c r="BJ87" i="1"/>
  <c r="BI87" i="1"/>
  <c r="BA87" i="1"/>
  <c r="BB87" i="1" s="1"/>
  <c r="AI87" i="1"/>
  <c r="AB87" i="1"/>
  <c r="AJ87" i="1" s="1"/>
  <c r="U87" i="1"/>
  <c r="N87" i="1"/>
  <c r="BK86" i="1"/>
  <c r="BJ86" i="1"/>
  <c r="BI86" i="1"/>
  <c r="BA86" i="1"/>
  <c r="BB86" i="1" s="1"/>
  <c r="AI86" i="1"/>
  <c r="AB86" i="1"/>
  <c r="AJ86" i="1" s="1"/>
  <c r="U86" i="1"/>
  <c r="N86" i="1"/>
  <c r="BK85" i="1"/>
  <c r="BJ85" i="1"/>
  <c r="BI85" i="1"/>
  <c r="BA85" i="1"/>
  <c r="BB85" i="1" s="1"/>
  <c r="AI85" i="1"/>
  <c r="AB85" i="1"/>
  <c r="AJ85" i="1" s="1"/>
  <c r="U85" i="1"/>
  <c r="N85" i="1"/>
  <c r="BK84" i="1"/>
  <c r="BJ84" i="1"/>
  <c r="BI84" i="1"/>
  <c r="BA84" i="1"/>
  <c r="BB84" i="1" s="1"/>
  <c r="AI84" i="1"/>
  <c r="AB84" i="1"/>
  <c r="AJ84" i="1" s="1"/>
  <c r="U84" i="1"/>
  <c r="N84" i="1"/>
  <c r="BK83" i="1"/>
  <c r="BJ83" i="1"/>
  <c r="BI83" i="1"/>
  <c r="BA83" i="1"/>
  <c r="BB83" i="1" s="1"/>
  <c r="AB83" i="1"/>
  <c r="AJ83" i="1" s="1"/>
  <c r="U83" i="1"/>
  <c r="N83" i="1"/>
  <c r="BK82" i="1"/>
  <c r="BJ82" i="1"/>
  <c r="BI82" i="1"/>
  <c r="AW82" i="1"/>
  <c r="AB82" i="1"/>
  <c r="AJ82" i="1" s="1"/>
  <c r="U82" i="1"/>
  <c r="N82" i="1"/>
  <c r="BK80" i="1"/>
  <c r="BJ80" i="1"/>
  <c r="BI80" i="1"/>
  <c r="BA80" i="1"/>
  <c r="BB80" i="1" s="1"/>
  <c r="AI80" i="1"/>
  <c r="AB80" i="1"/>
  <c r="AJ80" i="1" s="1"/>
  <c r="U80" i="1"/>
  <c r="N80" i="1"/>
  <c r="BK81" i="1"/>
  <c r="BJ81" i="1"/>
  <c r="BI81" i="1"/>
  <c r="BA81" i="1"/>
  <c r="BB81" i="1" s="1"/>
  <c r="AI81" i="1"/>
  <c r="AB81" i="1"/>
  <c r="AJ81" i="1" s="1"/>
  <c r="U81" i="1"/>
  <c r="N81" i="1"/>
  <c r="BK78" i="1"/>
  <c r="BJ78" i="1"/>
  <c r="BI78" i="1"/>
  <c r="BA78" i="1"/>
  <c r="BB78" i="1" s="1"/>
  <c r="AB78" i="1"/>
  <c r="AJ78" i="1" s="1"/>
  <c r="U78" i="1"/>
  <c r="N78" i="1"/>
  <c r="BK79" i="1"/>
  <c r="BJ79" i="1"/>
  <c r="BI79" i="1"/>
  <c r="BA79" i="1"/>
  <c r="BB79" i="1" s="1"/>
  <c r="AB79" i="1"/>
  <c r="AJ79" i="1" s="1"/>
  <c r="U79" i="1"/>
  <c r="N79" i="1"/>
  <c r="BK72" i="1"/>
  <c r="BJ72" i="1"/>
  <c r="BI72" i="1"/>
  <c r="BA72" i="1"/>
  <c r="BB72" i="1" s="1"/>
  <c r="AB72" i="1"/>
  <c r="U72" i="1"/>
  <c r="N72" i="1"/>
  <c r="BK74" i="1"/>
  <c r="BJ74" i="1"/>
  <c r="BI74" i="1"/>
  <c r="BA74" i="1"/>
  <c r="BB74" i="1" s="1"/>
  <c r="AI74" i="1"/>
  <c r="AB74" i="1"/>
  <c r="AJ74" i="1" s="1"/>
  <c r="U74" i="1"/>
  <c r="N74" i="1"/>
  <c r="BK73" i="1"/>
  <c r="BJ73" i="1"/>
  <c r="BI73" i="1"/>
  <c r="BA73" i="1"/>
  <c r="BB73" i="1" s="1"/>
  <c r="AI73" i="1"/>
  <c r="AB73" i="1"/>
  <c r="AJ73" i="1" s="1"/>
  <c r="U73" i="1"/>
  <c r="N73" i="1"/>
  <c r="BK70" i="1"/>
  <c r="BJ70" i="1"/>
  <c r="BI70" i="1"/>
  <c r="BA70" i="1"/>
  <c r="BB70" i="1" s="1"/>
  <c r="AI70" i="1"/>
  <c r="AB70" i="1"/>
  <c r="AJ70" i="1" s="1"/>
  <c r="U70" i="1"/>
  <c r="N70" i="1"/>
  <c r="BK75" i="1"/>
  <c r="BJ75" i="1"/>
  <c r="BI75" i="1"/>
  <c r="BA75" i="1"/>
  <c r="BB75" i="1" s="1"/>
  <c r="AB75" i="1"/>
  <c r="AJ75" i="1" s="1"/>
  <c r="U75" i="1"/>
  <c r="N75" i="1"/>
  <c r="BK71" i="1"/>
  <c r="BJ71" i="1"/>
  <c r="BI71" i="1"/>
  <c r="BA71" i="1"/>
  <c r="BB71" i="1" s="1"/>
  <c r="AB71" i="1"/>
  <c r="AJ71" i="1" s="1"/>
  <c r="U71" i="1"/>
  <c r="N71" i="1"/>
  <c r="BK77" i="1"/>
  <c r="BJ77" i="1"/>
  <c r="BI77" i="1"/>
  <c r="BA77" i="1"/>
  <c r="BB77" i="1" s="1"/>
  <c r="AI77" i="1"/>
  <c r="AB77" i="1"/>
  <c r="AJ77" i="1" s="1"/>
  <c r="U77" i="1"/>
  <c r="N77" i="1"/>
  <c r="BK76" i="1"/>
  <c r="BJ76" i="1"/>
  <c r="BI76" i="1"/>
  <c r="BA76" i="1"/>
  <c r="BB76" i="1" s="1"/>
  <c r="AB76" i="1"/>
  <c r="AJ76" i="1" s="1"/>
  <c r="U76" i="1"/>
  <c r="N76" i="1"/>
  <c r="BK69" i="1"/>
  <c r="BJ69" i="1"/>
  <c r="BI69" i="1"/>
  <c r="BA69" i="1"/>
  <c r="BB69" i="1" s="1"/>
  <c r="AI69" i="1"/>
  <c r="AB69" i="1"/>
  <c r="AJ69" i="1" s="1"/>
  <c r="U69" i="1"/>
  <c r="N69" i="1"/>
  <c r="BK66" i="1"/>
  <c r="BJ66" i="1"/>
  <c r="BI66" i="1"/>
  <c r="BA66" i="1"/>
  <c r="BB66" i="1" s="1"/>
  <c r="AB66" i="1"/>
  <c r="AJ66" i="1" s="1"/>
  <c r="U66" i="1"/>
  <c r="N66" i="1"/>
  <c r="BK65" i="1"/>
  <c r="BJ65" i="1"/>
  <c r="BI65" i="1"/>
  <c r="BA65" i="1"/>
  <c r="BB65" i="1" s="1"/>
  <c r="AB65" i="1"/>
  <c r="AJ65" i="1" s="1"/>
  <c r="U65" i="1"/>
  <c r="N65" i="1"/>
  <c r="BK67" i="1"/>
  <c r="BJ67" i="1"/>
  <c r="BI67" i="1"/>
  <c r="BA67" i="1"/>
  <c r="BB67" i="1" s="1"/>
  <c r="AB67" i="1"/>
  <c r="AJ67" i="1" s="1"/>
  <c r="U67" i="1"/>
  <c r="N67" i="1"/>
  <c r="BK64" i="1"/>
  <c r="BJ64" i="1"/>
  <c r="BI64" i="1"/>
  <c r="BA64" i="1"/>
  <c r="BB64" i="1" s="1"/>
  <c r="AB64" i="1"/>
  <c r="AJ64" i="1" s="1"/>
  <c r="U64" i="1"/>
  <c r="N64" i="1"/>
  <c r="BK63" i="1"/>
  <c r="BJ63" i="1"/>
  <c r="BI63" i="1"/>
  <c r="BA63" i="1"/>
  <c r="BB63" i="1" s="1"/>
  <c r="AB63" i="1"/>
  <c r="AJ63" i="1" s="1"/>
  <c r="U63" i="1"/>
  <c r="N63" i="1"/>
  <c r="BK62" i="1"/>
  <c r="BJ62" i="1"/>
  <c r="BI62" i="1"/>
  <c r="BA62" i="1"/>
  <c r="BB62" i="1" s="1"/>
  <c r="AB62" i="1"/>
  <c r="AJ62" i="1" s="1"/>
  <c r="U62" i="1"/>
  <c r="N62" i="1"/>
  <c r="BK61" i="1"/>
  <c r="BJ61" i="1"/>
  <c r="BI61" i="1"/>
  <c r="BA61" i="1"/>
  <c r="BB61" i="1" s="1"/>
  <c r="AI61" i="1"/>
  <c r="AB61" i="1"/>
  <c r="AJ61" i="1" s="1"/>
  <c r="U61" i="1"/>
  <c r="N61" i="1"/>
  <c r="BK60" i="1"/>
  <c r="BJ60" i="1"/>
  <c r="BI60" i="1"/>
  <c r="BA60" i="1"/>
  <c r="BB60" i="1" s="1"/>
  <c r="AB60" i="1"/>
  <c r="AJ60" i="1" s="1"/>
  <c r="U60" i="1"/>
  <c r="N60" i="1"/>
  <c r="BK57" i="1"/>
  <c r="BJ57" i="1"/>
  <c r="BI57" i="1"/>
  <c r="BA57" i="1"/>
  <c r="BB57" i="1" s="1"/>
  <c r="AI57" i="1"/>
  <c r="AB57" i="1"/>
  <c r="AJ57" i="1" s="1"/>
  <c r="U57" i="1"/>
  <c r="N57" i="1"/>
  <c r="BK55" i="1"/>
  <c r="BJ55" i="1"/>
  <c r="BI55" i="1"/>
  <c r="BA55" i="1"/>
  <c r="BB55" i="1" s="1"/>
  <c r="AI55" i="1"/>
  <c r="AB55" i="1"/>
  <c r="AJ55" i="1" s="1"/>
  <c r="U55" i="1"/>
  <c r="N55" i="1"/>
  <c r="BK54" i="1"/>
  <c r="BJ54" i="1"/>
  <c r="BI54" i="1"/>
  <c r="BA54" i="1"/>
  <c r="BB54" i="1" s="1"/>
  <c r="AI54" i="1"/>
  <c r="AB54" i="1"/>
  <c r="AJ54" i="1" s="1"/>
  <c r="U54" i="1"/>
  <c r="N54" i="1"/>
  <c r="BK43" i="1"/>
  <c r="BJ43" i="1"/>
  <c r="BI43" i="1"/>
  <c r="BA43" i="1"/>
  <c r="BB43" i="1" s="1"/>
  <c r="AI43" i="1"/>
  <c r="AB43" i="1"/>
  <c r="AJ43" i="1" s="1"/>
  <c r="U43" i="1"/>
  <c r="N43" i="1"/>
  <c r="BK50" i="1"/>
  <c r="BJ50" i="1"/>
  <c r="BI50" i="1"/>
  <c r="BA50" i="1"/>
  <c r="BB50" i="1" s="1"/>
  <c r="AB50" i="1"/>
  <c r="U50" i="1"/>
  <c r="N50" i="1"/>
  <c r="BK59" i="1"/>
  <c r="BJ59" i="1"/>
  <c r="BI59" i="1"/>
  <c r="BA59" i="1"/>
  <c r="BB59" i="1" s="1"/>
  <c r="AI59" i="1"/>
  <c r="AB59" i="1"/>
  <c r="AJ59" i="1" s="1"/>
  <c r="U59" i="1"/>
  <c r="N59" i="1"/>
  <c r="K59" i="1"/>
  <c r="BK56" i="1"/>
  <c r="BJ56" i="1"/>
  <c r="BI56" i="1"/>
  <c r="BA56" i="1"/>
  <c r="BB56" i="1" s="1"/>
  <c r="AB56" i="1"/>
  <c r="U56" i="1"/>
  <c r="N56" i="1"/>
  <c r="BK51" i="1"/>
  <c r="BJ51" i="1"/>
  <c r="BI51" i="1"/>
  <c r="BA51" i="1"/>
  <c r="BB51" i="1" s="1"/>
  <c r="AI51" i="1"/>
  <c r="AB51" i="1"/>
  <c r="AJ51" i="1" s="1"/>
  <c r="U51" i="1"/>
  <c r="N51" i="1"/>
  <c r="BK52" i="1"/>
  <c r="BJ52" i="1"/>
  <c r="BI52" i="1"/>
  <c r="BA52" i="1"/>
  <c r="BB52" i="1" s="1"/>
  <c r="AB52" i="1"/>
  <c r="U52" i="1"/>
  <c r="N52" i="1"/>
  <c r="BK58" i="1"/>
  <c r="BJ58" i="1"/>
  <c r="BI58" i="1"/>
  <c r="BA58" i="1"/>
  <c r="BB58" i="1" s="1"/>
  <c r="AB58" i="1"/>
  <c r="AJ58" i="1" s="1"/>
  <c r="U58" i="1"/>
  <c r="N58" i="1"/>
  <c r="BK46" i="1"/>
  <c r="BJ46" i="1"/>
  <c r="BI46" i="1"/>
  <c r="AS46" i="1"/>
  <c r="AW46" i="1" s="1"/>
  <c r="AI46" i="1"/>
  <c r="AB46" i="1"/>
  <c r="AJ46" i="1" s="1"/>
  <c r="U46" i="1"/>
  <c r="N46" i="1"/>
  <c r="BK45" i="1"/>
  <c r="BJ45" i="1"/>
  <c r="BI45" i="1"/>
  <c r="BA45" i="1"/>
  <c r="BB45" i="1" s="1"/>
  <c r="AI45" i="1"/>
  <c r="AB45" i="1"/>
  <c r="AJ45" i="1" s="1"/>
  <c r="U45" i="1"/>
  <c r="N45" i="1"/>
  <c r="BK42" i="1"/>
  <c r="BJ42" i="1"/>
  <c r="BI42" i="1"/>
  <c r="BA42" i="1"/>
  <c r="BB42" i="1" s="1"/>
  <c r="AB42" i="1"/>
  <c r="AJ42" i="1" s="1"/>
  <c r="U42" i="1"/>
  <c r="N42" i="1"/>
  <c r="BK53" i="1"/>
  <c r="BJ53" i="1"/>
  <c r="BI53" i="1"/>
  <c r="BA53" i="1"/>
  <c r="BB53" i="1" s="1"/>
  <c r="AB53" i="1"/>
  <c r="AJ53" i="1" s="1"/>
  <c r="U53" i="1"/>
  <c r="N53" i="1"/>
  <c r="BK47" i="1"/>
  <c r="BJ47" i="1"/>
  <c r="BI47" i="1"/>
  <c r="BA47" i="1"/>
  <c r="BB47" i="1" s="1"/>
  <c r="AB47" i="1"/>
  <c r="U47" i="1"/>
  <c r="N47" i="1"/>
  <c r="BK44" i="1"/>
  <c r="BJ44" i="1"/>
  <c r="BI44" i="1"/>
  <c r="BA44" i="1"/>
  <c r="BB44" i="1" s="1"/>
  <c r="AJ44" i="1"/>
  <c r="BK49" i="1"/>
  <c r="BJ49" i="1"/>
  <c r="BI49" i="1"/>
  <c r="BA49" i="1"/>
  <c r="BB49" i="1" s="1"/>
  <c r="AI49" i="1"/>
  <c r="AB49" i="1"/>
  <c r="AJ49" i="1" s="1"/>
  <c r="U49" i="1"/>
  <c r="N49" i="1"/>
  <c r="BK48" i="1"/>
  <c r="BJ48" i="1"/>
  <c r="BI48" i="1"/>
  <c r="BA48" i="1"/>
  <c r="BB48" i="1" s="1"/>
  <c r="AI48" i="1"/>
  <c r="AB48" i="1"/>
  <c r="AJ48" i="1" s="1"/>
  <c r="U48" i="1"/>
  <c r="N48" i="1"/>
  <c r="BK33" i="1"/>
  <c r="BJ33" i="1"/>
  <c r="BI33" i="1"/>
  <c r="BA33" i="1"/>
  <c r="BB33" i="1" s="1"/>
  <c r="AI33" i="1"/>
  <c r="AB33" i="1"/>
  <c r="U33" i="1"/>
  <c r="N33" i="1"/>
  <c r="BK41" i="1"/>
  <c r="BJ41" i="1"/>
  <c r="BI41" i="1"/>
  <c r="BA41" i="1"/>
  <c r="AB41" i="1"/>
  <c r="AJ41" i="1" s="1"/>
  <c r="U41" i="1"/>
  <c r="N41" i="1"/>
  <c r="BK36" i="1"/>
  <c r="BJ36" i="1"/>
  <c r="BI36" i="1"/>
  <c r="BA36" i="1"/>
  <c r="BB36" i="1" s="1"/>
  <c r="AB36" i="1"/>
  <c r="AJ36" i="1" s="1"/>
  <c r="U36" i="1"/>
  <c r="N36" i="1"/>
  <c r="BK37" i="1"/>
  <c r="BJ37" i="1"/>
  <c r="BI37" i="1"/>
  <c r="BA37" i="1"/>
  <c r="BB37" i="1" s="1"/>
  <c r="AI37" i="1"/>
  <c r="AB37" i="1"/>
  <c r="AJ37" i="1" s="1"/>
  <c r="U37" i="1"/>
  <c r="N37" i="1"/>
  <c r="BK38" i="1"/>
  <c r="BJ38" i="1"/>
  <c r="BI38" i="1"/>
  <c r="BA38" i="1"/>
  <c r="BB38" i="1" s="1"/>
  <c r="AI38" i="1"/>
  <c r="AB38" i="1"/>
  <c r="AJ38" i="1" s="1"/>
  <c r="U38" i="1"/>
  <c r="N38" i="1"/>
  <c r="BK35" i="1"/>
  <c r="BJ35" i="1"/>
  <c r="BI35" i="1"/>
  <c r="BA35" i="1"/>
  <c r="BB35" i="1" s="1"/>
  <c r="AB35" i="1"/>
  <c r="U35" i="1"/>
  <c r="N35" i="1"/>
  <c r="BK34" i="1"/>
  <c r="BJ34" i="1"/>
  <c r="BI34" i="1"/>
  <c r="BA34" i="1"/>
  <c r="BB34" i="1" s="1"/>
  <c r="AB34" i="1"/>
  <c r="U34" i="1"/>
  <c r="N34" i="1"/>
  <c r="BK39" i="1"/>
  <c r="BJ39" i="1"/>
  <c r="BI39" i="1"/>
  <c r="BA39" i="1"/>
  <c r="BB39" i="1" s="1"/>
  <c r="AI39" i="1"/>
  <c r="AB39" i="1"/>
  <c r="U39" i="1"/>
  <c r="N39" i="1"/>
  <c r="BK40" i="1"/>
  <c r="BJ40" i="1"/>
  <c r="BI40" i="1"/>
  <c r="BA40" i="1"/>
  <c r="BB40" i="1" s="1"/>
  <c r="AI40" i="1"/>
  <c r="AB40" i="1"/>
  <c r="AJ40" i="1" s="1"/>
  <c r="U40" i="1"/>
  <c r="N40" i="1"/>
  <c r="BK32" i="1"/>
  <c r="BJ32" i="1"/>
  <c r="BI32" i="1"/>
  <c r="BA32" i="1"/>
  <c r="BB32" i="1" s="1"/>
  <c r="AB32" i="1"/>
  <c r="AJ32" i="1" s="1"/>
  <c r="U32" i="1"/>
  <c r="N32" i="1"/>
  <c r="BK31" i="1"/>
  <c r="BJ31" i="1"/>
  <c r="BI31" i="1"/>
  <c r="BA31" i="1"/>
  <c r="BB31" i="1" s="1"/>
  <c r="AB31" i="1"/>
  <c r="U31" i="1"/>
  <c r="N31" i="1"/>
  <c r="BK30" i="1"/>
  <c r="BJ30" i="1"/>
  <c r="BI30" i="1"/>
  <c r="BA30" i="1"/>
  <c r="BB30" i="1" s="1"/>
  <c r="AI30" i="1"/>
  <c r="AB30" i="1"/>
  <c r="U30" i="1"/>
  <c r="N30" i="1"/>
  <c r="BK29" i="1"/>
  <c r="BJ29" i="1"/>
  <c r="BI29" i="1"/>
  <c r="BA29" i="1"/>
  <c r="BB29" i="1" s="1"/>
  <c r="AB29" i="1"/>
  <c r="AJ29" i="1" s="1"/>
  <c r="U29" i="1"/>
  <c r="N29" i="1"/>
  <c r="M29" i="1"/>
  <c r="AI29" i="1" s="1"/>
  <c r="BK28" i="1"/>
  <c r="BJ28" i="1"/>
  <c r="BI28" i="1"/>
  <c r="BA28" i="1"/>
  <c r="BB28" i="1" s="1"/>
  <c r="AB28" i="1"/>
  <c r="AJ28" i="1" s="1"/>
  <c r="U28" i="1"/>
  <c r="N28" i="1"/>
  <c r="BK26" i="1"/>
  <c r="BJ26" i="1"/>
  <c r="BI26" i="1"/>
  <c r="BA26" i="1"/>
  <c r="BB26" i="1" s="1"/>
  <c r="AI26" i="1"/>
  <c r="AB26" i="1"/>
  <c r="AJ26" i="1" s="1"/>
  <c r="U26" i="1"/>
  <c r="N26" i="1"/>
  <c r="BK25" i="1"/>
  <c r="BJ25" i="1"/>
  <c r="BI25" i="1"/>
  <c r="BA25" i="1"/>
  <c r="BB25" i="1" s="1"/>
  <c r="AI25" i="1"/>
  <c r="AB25" i="1"/>
  <c r="AJ25" i="1" s="1"/>
  <c r="U25" i="1"/>
  <c r="N25" i="1"/>
  <c r="BK24" i="1"/>
  <c r="BJ24" i="1"/>
  <c r="BI24" i="1"/>
  <c r="BA24" i="1"/>
  <c r="BB24" i="1" s="1"/>
  <c r="AI24" i="1"/>
  <c r="AB24" i="1"/>
  <c r="AJ24" i="1" s="1"/>
  <c r="U24" i="1"/>
  <c r="N24" i="1"/>
  <c r="BK23" i="1"/>
  <c r="BJ23" i="1"/>
  <c r="BI23" i="1"/>
  <c r="BA23" i="1"/>
  <c r="BB23" i="1" s="1"/>
  <c r="AI23" i="1"/>
  <c r="AJ23" i="1"/>
  <c r="BK22" i="1"/>
  <c r="BJ22" i="1"/>
  <c r="BI22" i="1"/>
  <c r="BA22" i="1"/>
  <c r="BB22" i="1" s="1"/>
  <c r="AI22" i="1"/>
  <c r="AB22" i="1"/>
  <c r="AJ22" i="1" s="1"/>
  <c r="U22" i="1"/>
  <c r="N22" i="1"/>
  <c r="BK21" i="1"/>
  <c r="BJ21" i="1"/>
  <c r="BI21" i="1"/>
  <c r="BA21" i="1"/>
  <c r="BB21" i="1" s="1"/>
  <c r="AI21" i="1"/>
  <c r="AB21" i="1"/>
  <c r="AJ21" i="1" s="1"/>
  <c r="U21" i="1"/>
  <c r="N21" i="1"/>
  <c r="BK20" i="1"/>
  <c r="BJ20" i="1"/>
  <c r="BI20" i="1"/>
  <c r="BA20" i="1"/>
  <c r="BB20" i="1" s="1"/>
  <c r="AI20" i="1"/>
  <c r="AB20" i="1"/>
  <c r="AJ20" i="1" s="1"/>
  <c r="U20" i="1"/>
  <c r="N20" i="1"/>
  <c r="BK19" i="1"/>
  <c r="BJ19" i="1"/>
  <c r="BI19" i="1"/>
  <c r="BA19" i="1"/>
  <c r="BB19" i="1" s="1"/>
  <c r="AI19" i="1"/>
  <c r="AB19" i="1"/>
  <c r="AJ19" i="1" s="1"/>
  <c r="U19" i="1"/>
  <c r="N19" i="1"/>
  <c r="BK18" i="1"/>
  <c r="BJ18" i="1"/>
  <c r="BI18" i="1"/>
  <c r="BA18" i="1"/>
  <c r="BB18" i="1" s="1"/>
  <c r="AI18" i="1"/>
  <c r="AB18" i="1"/>
  <c r="AJ18" i="1" s="1"/>
  <c r="U18" i="1"/>
  <c r="N18" i="1"/>
  <c r="BK14" i="1"/>
  <c r="BJ14" i="1"/>
  <c r="BI14" i="1"/>
  <c r="BA14" i="1"/>
  <c r="BB14" i="1" s="1"/>
  <c r="AI14" i="1"/>
  <c r="AB14" i="1"/>
  <c r="AJ14" i="1" s="1"/>
  <c r="U14" i="1"/>
  <c r="N14" i="1"/>
  <c r="BA16" i="1"/>
  <c r="BB16" i="1" s="1"/>
  <c r="AI16" i="1"/>
  <c r="AB16" i="1"/>
  <c r="AJ16" i="1" s="1"/>
  <c r="U16" i="1"/>
  <c r="N16" i="1"/>
  <c r="BK15" i="1"/>
  <c r="BJ15" i="1"/>
  <c r="BI15" i="1"/>
  <c r="BA15" i="1"/>
  <c r="BB15" i="1" s="1"/>
  <c r="AB15" i="1"/>
  <c r="U15" i="1"/>
  <c r="N15" i="1"/>
  <c r="BK17" i="1"/>
  <c r="BJ17" i="1"/>
  <c r="BI17" i="1"/>
  <c r="BA17" i="1"/>
  <c r="BB17" i="1" s="1"/>
  <c r="AI17" i="1"/>
  <c r="AB17" i="1"/>
  <c r="AJ17" i="1" s="1"/>
  <c r="U17" i="1"/>
  <c r="N17" i="1"/>
  <c r="BK13" i="1"/>
  <c r="BJ13" i="1"/>
  <c r="BI13" i="1"/>
  <c r="BA13" i="1"/>
  <c r="BB13" i="1" s="1"/>
  <c r="AI13" i="1"/>
  <c r="AB13" i="1"/>
  <c r="AJ13" i="1" s="1"/>
  <c r="U13" i="1"/>
  <c r="N13" i="1"/>
  <c r="BK12" i="1"/>
  <c r="BJ12" i="1"/>
  <c r="BI12" i="1"/>
  <c r="BA12" i="1"/>
  <c r="BB12" i="1" s="1"/>
  <c r="AJ12" i="1"/>
  <c r="BK11" i="1"/>
  <c r="BJ11" i="1"/>
  <c r="BI11" i="1"/>
  <c r="BA11" i="1"/>
  <c r="BB11" i="1" s="1"/>
  <c r="AI11" i="1"/>
  <c r="AB11" i="1"/>
  <c r="AJ11" i="1" s="1"/>
  <c r="U11" i="1"/>
  <c r="N11" i="1"/>
  <c r="BK10" i="1"/>
  <c r="BJ10" i="1"/>
  <c r="BI10" i="1"/>
  <c r="BA10" i="1"/>
  <c r="BB10" i="1" s="1"/>
  <c r="AI10" i="1"/>
  <c r="AB10" i="1"/>
  <c r="AJ10" i="1" s="1"/>
  <c r="U10" i="1"/>
  <c r="N10" i="1"/>
  <c r="BK9" i="1"/>
  <c r="BJ9" i="1"/>
  <c r="BI9" i="1"/>
  <c r="BA9" i="1"/>
  <c r="BB9" i="1" s="1"/>
  <c r="AI9" i="1"/>
  <c r="AJ9" i="1"/>
  <c r="BK7" i="1"/>
  <c r="BJ7" i="1"/>
  <c r="BI7" i="1"/>
  <c r="BA7" i="1"/>
  <c r="BB7" i="1" s="1"/>
  <c r="AI7" i="1"/>
  <c r="AB7" i="1"/>
  <c r="U7" i="1"/>
  <c r="N7" i="1"/>
  <c r="BK8" i="1"/>
  <c r="BJ8" i="1"/>
  <c r="BI8" i="1"/>
  <c r="BA8" i="1"/>
  <c r="BB8" i="1" s="1"/>
  <c r="AI8" i="1"/>
  <c r="AB8" i="1"/>
  <c r="AJ8" i="1" s="1"/>
  <c r="U8" i="1"/>
  <c r="N8" i="1"/>
  <c r="BK6" i="1"/>
  <c r="BJ6" i="1"/>
  <c r="BI6" i="1"/>
  <c r="AI6" i="1"/>
  <c r="AB6" i="1"/>
  <c r="AJ6" i="1" s="1"/>
  <c r="U6" i="1"/>
  <c r="N6" i="1"/>
  <c r="U156" i="1" l="1"/>
  <c r="AJ30" i="1"/>
  <c r="AJ39" i="1"/>
  <c r="AJ133" i="1"/>
  <c r="AJ7" i="1"/>
  <c r="AJ138" i="1"/>
  <c r="AJ33" i="1"/>
  <c r="AJ52" i="1"/>
  <c r="AJ56" i="1"/>
  <c r="AI139" i="1"/>
  <c r="BL68" i="1"/>
  <c r="AI95" i="1"/>
  <c r="AI104" i="1"/>
  <c r="AI32" i="1"/>
  <c r="AI65" i="1"/>
  <c r="BL90" i="1"/>
  <c r="AI78" i="1"/>
  <c r="AI100" i="1"/>
  <c r="BL126" i="1"/>
  <c r="AI146" i="1"/>
  <c r="BL85" i="1"/>
  <c r="AI67" i="1"/>
  <c r="AI52" i="1"/>
  <c r="AI82" i="1"/>
  <c r="AI136" i="1"/>
  <c r="BL17" i="1"/>
  <c r="BL24" i="1"/>
  <c r="AI42" i="1"/>
  <c r="BL63" i="1"/>
  <c r="BL53" i="1"/>
  <c r="BL58" i="1"/>
  <c r="BL134" i="1"/>
  <c r="BL140" i="1"/>
  <c r="AI53" i="1"/>
  <c r="BL41" i="1"/>
  <c r="BL42" i="1"/>
  <c r="BL77" i="1"/>
  <c r="BL87" i="1"/>
  <c r="BL114" i="1"/>
  <c r="K10" i="3"/>
  <c r="AI147" i="1"/>
  <c r="I12" i="3"/>
  <c r="BL29" i="1"/>
  <c r="BL81" i="1"/>
  <c r="BL118" i="1"/>
  <c r="AI76" i="1"/>
  <c r="BL60" i="1"/>
  <c r="AI122" i="1"/>
  <c r="BL9" i="1"/>
  <c r="BL14" i="1"/>
  <c r="BL21" i="1"/>
  <c r="BL52" i="1"/>
  <c r="BL57" i="1"/>
  <c r="AI63" i="1"/>
  <c r="AI71" i="1"/>
  <c r="AI75" i="1"/>
  <c r="BL78" i="1"/>
  <c r="BL91" i="1"/>
  <c r="AI119" i="1"/>
  <c r="BL149" i="1"/>
  <c r="AI150" i="1"/>
  <c r="BL55" i="1"/>
  <c r="BL64" i="1"/>
  <c r="BL100" i="1"/>
  <c r="BL127" i="1"/>
  <c r="BL7" i="1"/>
  <c r="BL70" i="1"/>
  <c r="BL86" i="1"/>
  <c r="K13" i="3"/>
  <c r="BL19" i="1"/>
  <c r="BL30" i="1"/>
  <c r="AI41" i="1"/>
  <c r="BL45" i="1"/>
  <c r="AI64" i="1"/>
  <c r="BL74" i="1"/>
  <c r="BL98" i="1"/>
  <c r="BL119" i="1"/>
  <c r="AI121" i="1"/>
  <c r="BL130" i="1"/>
  <c r="AI142" i="1"/>
  <c r="BL139" i="1"/>
  <c r="AI140" i="1"/>
  <c r="BL18" i="1"/>
  <c r="BL103" i="1"/>
  <c r="N156" i="1"/>
  <c r="BL23" i="1"/>
  <c r="BL40" i="1"/>
  <c r="AI56" i="1"/>
  <c r="BL43" i="1"/>
  <c r="BL54" i="1"/>
  <c r="BL67" i="1"/>
  <c r="BL82" i="1"/>
  <c r="AI83" i="1"/>
  <c r="BL111" i="1"/>
  <c r="BL132" i="1"/>
  <c r="BL136" i="1"/>
  <c r="BL144" i="1"/>
  <c r="BL153" i="1"/>
  <c r="BL51" i="1"/>
  <c r="BL148" i="1"/>
  <c r="BL6" i="1"/>
  <c r="BL22" i="1"/>
  <c r="BL96" i="1"/>
  <c r="BL99" i="1"/>
  <c r="BL108" i="1"/>
  <c r="BL122" i="1"/>
  <c r="AI125" i="1"/>
  <c r="AI124" i="1"/>
  <c r="BL128" i="1"/>
  <c r="BL152" i="1"/>
  <c r="K7" i="3"/>
  <c r="BL31" i="1"/>
  <c r="BL37" i="1"/>
  <c r="BL65" i="1"/>
  <c r="AI66" i="1"/>
  <c r="BL75" i="1"/>
  <c r="BL92" i="1"/>
  <c r="BL93" i="1"/>
  <c r="AI94" i="1"/>
  <c r="BL106" i="1"/>
  <c r="BL150" i="1"/>
  <c r="H7" i="3"/>
  <c r="I7" i="3"/>
  <c r="BL39" i="1"/>
  <c r="BL95" i="1"/>
  <c r="BL120" i="1"/>
  <c r="BL137" i="1"/>
  <c r="BL151" i="1"/>
  <c r="BL10" i="1"/>
  <c r="AI12" i="1"/>
  <c r="BL36" i="1"/>
  <c r="BL49" i="1"/>
  <c r="BL47" i="1"/>
  <c r="BL50" i="1"/>
  <c r="BL73" i="1"/>
  <c r="BL83" i="1"/>
  <c r="BL84" i="1"/>
  <c r="AI92" i="1"/>
  <c r="AI99" i="1"/>
  <c r="BL133" i="1"/>
  <c r="BL135" i="1"/>
  <c r="BL146" i="1"/>
  <c r="H6" i="3"/>
  <c r="H10" i="3"/>
  <c r="I14" i="3"/>
  <c r="L13" i="3"/>
  <c r="O13" i="3" s="1"/>
  <c r="BL15" i="1"/>
  <c r="BL20" i="1"/>
  <c r="BL28" i="1"/>
  <c r="BL48" i="1"/>
  <c r="AI44" i="1"/>
  <c r="BL79" i="1"/>
  <c r="BL102" i="1"/>
  <c r="BL117" i="1"/>
  <c r="BL121" i="1"/>
  <c r="BL125" i="1"/>
  <c r="BL124" i="1"/>
  <c r="BL141" i="1"/>
  <c r="H9" i="3"/>
  <c r="H13" i="3"/>
  <c r="K14" i="3"/>
  <c r="BL8" i="1"/>
  <c r="BL13" i="1"/>
  <c r="BL26" i="1"/>
  <c r="BL34" i="1"/>
  <c r="AI36" i="1"/>
  <c r="BL33" i="1"/>
  <c r="BL62" i="1"/>
  <c r="AI91" i="1"/>
  <c r="BL94" i="1"/>
  <c r="BL107" i="1"/>
  <c r="BL112" i="1"/>
  <c r="BL113" i="1"/>
  <c r="AI117" i="1"/>
  <c r="AI127" i="1"/>
  <c r="BL142" i="1"/>
  <c r="BL145" i="1"/>
  <c r="AI149" i="1"/>
  <c r="BL154" i="1"/>
  <c r="BL11" i="1"/>
  <c r="Q11" i="3"/>
  <c r="G11" i="3"/>
  <c r="Q8" i="3"/>
  <c r="G8" i="3"/>
  <c r="Q5" i="3"/>
  <c r="G5" i="3"/>
  <c r="G10" i="3"/>
  <c r="G7" i="3"/>
  <c r="Q12" i="3"/>
  <c r="L11" i="3"/>
  <c r="Q9" i="3"/>
  <c r="L8" i="3"/>
  <c r="Q6" i="3"/>
  <c r="L5" i="3"/>
  <c r="G12" i="3"/>
  <c r="L10" i="3"/>
  <c r="Q13" i="3"/>
  <c r="L6" i="3"/>
  <c r="L9" i="3"/>
  <c r="L12" i="3"/>
  <c r="Q10" i="3"/>
  <c r="G9" i="3"/>
  <c r="L7" i="3"/>
  <c r="BL35" i="1"/>
  <c r="BL76" i="1"/>
  <c r="BL105" i="1"/>
  <c r="BL109" i="1"/>
  <c r="BL115" i="1"/>
  <c r="AB156" i="1"/>
  <c r="BL89" i="1"/>
  <c r="G6" i="3"/>
  <c r="AI28" i="1"/>
  <c r="BL38" i="1"/>
  <c r="BL56" i="1"/>
  <c r="BL101" i="1"/>
  <c r="BL104" i="1"/>
  <c r="AI107" i="1"/>
  <c r="BL69" i="1"/>
  <c r="Q7" i="3"/>
  <c r="BL32" i="1"/>
  <c r="BB41" i="1"/>
  <c r="BL12" i="1"/>
  <c r="BL46" i="1"/>
  <c r="AI58" i="1"/>
  <c r="BL71" i="1"/>
  <c r="BL110" i="1"/>
  <c r="J5" i="3"/>
  <c r="H5" i="3"/>
  <c r="I5" i="3"/>
  <c r="F15" i="3"/>
  <c r="BL44" i="1"/>
  <c r="AS156" i="1"/>
  <c r="BA46" i="1"/>
  <c r="BB46" i="1" s="1"/>
  <c r="BL59" i="1"/>
  <c r="BL72" i="1"/>
  <c r="AI79" i="1"/>
  <c r="BL123" i="1"/>
  <c r="BL138" i="1"/>
  <c r="J11" i="3"/>
  <c r="H11" i="3"/>
  <c r="I11" i="3"/>
  <c r="BL25" i="1"/>
  <c r="BL61" i="1"/>
  <c r="BL66" i="1"/>
  <c r="BL80" i="1"/>
  <c r="BA82" i="1"/>
  <c r="BB82" i="1" s="1"/>
  <c r="BL88" i="1"/>
  <c r="BL97" i="1"/>
  <c r="BL147" i="1"/>
  <c r="AQ156" i="1"/>
  <c r="J8" i="3"/>
  <c r="H8" i="3"/>
  <c r="I8" i="3"/>
  <c r="K11" i="3"/>
  <c r="L14" i="3"/>
  <c r="G13" i="3"/>
  <c r="Q14" i="3"/>
  <c r="G14" i="3"/>
  <c r="BL129" i="1"/>
  <c r="AI132" i="1"/>
  <c r="BL131" i="1"/>
  <c r="BL143" i="1"/>
  <c r="J6" i="3"/>
  <c r="K6" i="3"/>
  <c r="J9" i="3"/>
  <c r="K9" i="3"/>
  <c r="J12" i="3"/>
  <c r="K12" i="3"/>
  <c r="J7" i="3"/>
  <c r="J10" i="3"/>
  <c r="J13" i="3"/>
  <c r="H14" i="3"/>
  <c r="AJ156" i="1" l="1"/>
  <c r="AI156" i="1"/>
  <c r="N13" i="3"/>
  <c r="P13" i="3"/>
  <c r="M13" i="3"/>
  <c r="T7" i="3"/>
  <c r="S7" i="3"/>
  <c r="R7" i="3"/>
  <c r="U7" i="3"/>
  <c r="T10" i="3"/>
  <c r="S10" i="3"/>
  <c r="R10" i="3"/>
  <c r="U10" i="3"/>
  <c r="J15" i="3"/>
  <c r="H15" i="3"/>
  <c r="K15" i="3"/>
  <c r="I15" i="3"/>
  <c r="P7" i="3"/>
  <c r="M7" i="3"/>
  <c r="O7" i="3"/>
  <c r="N7" i="3"/>
  <c r="T13" i="3"/>
  <c r="U13" i="3"/>
  <c r="S13" i="3"/>
  <c r="R13" i="3"/>
  <c r="R9" i="3"/>
  <c r="U9" i="3"/>
  <c r="S9" i="3"/>
  <c r="T9" i="3"/>
  <c r="R5" i="3"/>
  <c r="Q15" i="3"/>
  <c r="U5" i="3"/>
  <c r="T5" i="3"/>
  <c r="S5" i="3"/>
  <c r="P12" i="3"/>
  <c r="N12" i="3"/>
  <c r="M12" i="3"/>
  <c r="O12" i="3"/>
  <c r="P5" i="3"/>
  <c r="O5" i="3"/>
  <c r="L15" i="3"/>
  <c r="M5" i="3"/>
  <c r="N5" i="3"/>
  <c r="P10" i="3"/>
  <c r="M10" i="3"/>
  <c r="O10" i="3"/>
  <c r="N10" i="3"/>
  <c r="R12" i="3"/>
  <c r="U12" i="3"/>
  <c r="S12" i="3"/>
  <c r="T12" i="3"/>
  <c r="P9" i="3"/>
  <c r="N9" i="3"/>
  <c r="M9" i="3"/>
  <c r="O9" i="3"/>
  <c r="R6" i="3"/>
  <c r="U6" i="3"/>
  <c r="S6" i="3"/>
  <c r="T6" i="3"/>
  <c r="R11" i="3"/>
  <c r="U11" i="3"/>
  <c r="T11" i="3"/>
  <c r="S11" i="3"/>
  <c r="P11" i="3"/>
  <c r="O11" i="3"/>
  <c r="M11" i="3"/>
  <c r="N11" i="3"/>
  <c r="R8" i="3"/>
  <c r="U8" i="3"/>
  <c r="T8" i="3"/>
  <c r="S8" i="3"/>
  <c r="T14" i="3"/>
  <c r="U14" i="3"/>
  <c r="S14" i="3"/>
  <c r="R14" i="3"/>
  <c r="P14" i="3"/>
  <c r="M14" i="3"/>
  <c r="O14" i="3"/>
  <c r="N14" i="3"/>
  <c r="P6" i="3"/>
  <c r="N6" i="3"/>
  <c r="M6" i="3"/>
  <c r="O6" i="3"/>
  <c r="P8" i="3"/>
  <c r="O8" i="3"/>
  <c r="M8" i="3"/>
  <c r="N8" i="3"/>
  <c r="P15" i="3" l="1"/>
  <c r="O15" i="3"/>
  <c r="N15" i="3"/>
  <c r="M15" i="3"/>
  <c r="R15" i="3"/>
  <c r="U15" i="3"/>
  <c r="T15" i="3"/>
  <c r="S15" i="3"/>
  <c r="BA6" i="1"/>
  <c r="BB6" i="1" s="1"/>
  <c r="BA156" i="1"/>
  <c r="AW156" i="1"/>
</calcChain>
</file>

<file path=xl/sharedStrings.xml><?xml version="1.0" encoding="utf-8"?>
<sst xmlns="http://schemas.openxmlformats.org/spreadsheetml/2006/main" count="2280" uniqueCount="523">
  <si>
    <t xml:space="preserve">MORE HOMES DIVISION </t>
  </si>
  <si>
    <t>HARP Ref</t>
  </si>
  <si>
    <t>Project Name</t>
  </si>
  <si>
    <t xml:space="preserve">Town </t>
  </si>
  <si>
    <t>LHS Area</t>
  </si>
  <si>
    <t>Developer</t>
  </si>
  <si>
    <t>Landlord</t>
  </si>
  <si>
    <t>SG Tender Approval Year</t>
  </si>
  <si>
    <t>SG Approval Month</t>
  </si>
  <si>
    <t xml:space="preserve">Total Unit Numbers </t>
  </si>
  <si>
    <t>General Needs Units</t>
  </si>
  <si>
    <t>Specific Needs Units</t>
  </si>
  <si>
    <t>Wheelchair Units</t>
  </si>
  <si>
    <t>TOTAL GN Units</t>
  </si>
  <si>
    <t>GN - 1 bed</t>
  </si>
  <si>
    <t>GN - 2 bed</t>
  </si>
  <si>
    <t>GN - 3 bed</t>
  </si>
  <si>
    <t>GN - 4 bed</t>
  </si>
  <si>
    <t>GN - 5 bed</t>
  </si>
  <si>
    <t>GN - 6+ bed</t>
  </si>
  <si>
    <t>TOTAL SN Units</t>
  </si>
  <si>
    <t>SN  - 1 bed</t>
  </si>
  <si>
    <t>SN - 2 bed</t>
  </si>
  <si>
    <t>SN - 3 bed</t>
  </si>
  <si>
    <t>SN - 4 bed</t>
  </si>
  <si>
    <t>SN - 5 bed</t>
  </si>
  <si>
    <t>SN - 6+ bed</t>
  </si>
  <si>
    <t>TOTAL Wheelchair Units</t>
  </si>
  <si>
    <t>WC - 1 bed</t>
  </si>
  <si>
    <t>WC - 2 bed</t>
  </si>
  <si>
    <t>WC - 3 bed</t>
  </si>
  <si>
    <t>WC - 4 bed</t>
  </si>
  <si>
    <t>WC - 5 bed</t>
  </si>
  <si>
    <t>WC - 6+ bed</t>
  </si>
  <si>
    <t>% SN Units</t>
  </si>
  <si>
    <t>Tenure</t>
  </si>
  <si>
    <t>Contract Type</t>
  </si>
  <si>
    <t>Est/Actual site start year</t>
  </si>
  <si>
    <t>Est/Actual site start month</t>
  </si>
  <si>
    <t>Est/Actual Comp Year</t>
  </si>
  <si>
    <t>Est/Actual Comp Month</t>
  </si>
  <si>
    <t>SG Grant 2021/2022 (£m)</t>
  </si>
  <si>
    <t>SG Grant 2022/2023 (£m)</t>
  </si>
  <si>
    <t>SG Grant 2023/2024 (£m)</t>
  </si>
  <si>
    <t>SG Grant 2024/2025 (£m)</t>
  </si>
  <si>
    <t>SG Grant 2025/2026 (£m)</t>
  </si>
  <si>
    <t>SG Grant Post 2025/2026 (£m)</t>
  </si>
  <si>
    <t>Total SG Funding</t>
  </si>
  <si>
    <t>Total 2HCT (£m)</t>
  </si>
  <si>
    <t>Total FC Commuted Sums (£m)</t>
  </si>
  <si>
    <t>Communted Sums Long Stop Date</t>
  </si>
  <si>
    <t>Total Subsidy (£m)</t>
  </si>
  <si>
    <t>Total Subsidy per unit (£m)</t>
  </si>
  <si>
    <t>SHIP HMA Need</t>
  </si>
  <si>
    <t>SHIP LHSA Need</t>
  </si>
  <si>
    <t>SHIP Devt- Planning &amp; Land</t>
  </si>
  <si>
    <t>SHIP Devt Status (RAG)</t>
  </si>
  <si>
    <t xml:space="preserve">SHIP SF - Equualities </t>
  </si>
  <si>
    <t>SHIP SF - Wider Objectives</t>
  </si>
  <si>
    <t>SHIP Housing Need Total</t>
  </si>
  <si>
    <t>SHIP Devt Total</t>
  </si>
  <si>
    <t>SHIP SF Total</t>
  </si>
  <si>
    <t>SHIP Total</t>
  </si>
  <si>
    <t>Comment</t>
  </si>
  <si>
    <t>Change Control</t>
  </si>
  <si>
    <t>1 - Dev Mix &amp; brief</t>
  </si>
  <si>
    <t>P43211</t>
  </si>
  <si>
    <t xml:space="preserve">Aberdour Road  </t>
  </si>
  <si>
    <t>Aberdour</t>
  </si>
  <si>
    <t>Dunfermline &amp; Coast</t>
  </si>
  <si>
    <t>KHA</t>
  </si>
  <si>
    <t>2022/23</t>
  </si>
  <si>
    <t>July</t>
  </si>
  <si>
    <t xml:space="preserve">SR </t>
  </si>
  <si>
    <t>D&amp;B</t>
  </si>
  <si>
    <t>2023/24</t>
  </si>
  <si>
    <t>0 - Feasibility</t>
  </si>
  <si>
    <t>P43379</t>
  </si>
  <si>
    <t>Mayview Court  (New Care Village)</t>
  </si>
  <si>
    <t>Anstruther</t>
  </si>
  <si>
    <t>Largo &amp; East Neuk</t>
  </si>
  <si>
    <t>FC</t>
  </si>
  <si>
    <t>January</t>
  </si>
  <si>
    <t>SR</t>
  </si>
  <si>
    <t>2024/25</t>
  </si>
  <si>
    <t>June</t>
  </si>
  <si>
    <t>P43380</t>
  </si>
  <si>
    <t>Ladywalk (Former Care Home)</t>
  </si>
  <si>
    <t>September</t>
  </si>
  <si>
    <t>2025/26</t>
  </si>
  <si>
    <t>August</t>
  </si>
  <si>
    <t>2 - design, plg &amp; acq</t>
  </si>
  <si>
    <t>P43195</t>
  </si>
  <si>
    <t>Carswell Wynd</t>
  </si>
  <si>
    <t>Auchtermuchty</t>
  </si>
  <si>
    <t>Cupar &amp; HOF</t>
  </si>
  <si>
    <t>December</t>
  </si>
  <si>
    <t>March</t>
  </si>
  <si>
    <t>4 - on site</t>
  </si>
  <si>
    <t>P43396</t>
  </si>
  <si>
    <t>Kirkland Farm Phase 3</t>
  </si>
  <si>
    <t>Ballingry</t>
  </si>
  <si>
    <t>Cowdenbeath</t>
  </si>
  <si>
    <t>2019/20</t>
  </si>
  <si>
    <t>April</t>
  </si>
  <si>
    <t>P41440</t>
  </si>
  <si>
    <t>Main Street</t>
  </si>
  <si>
    <t>Ballmulo</t>
  </si>
  <si>
    <t>St Andrews</t>
  </si>
  <si>
    <t>2021/22</t>
  </si>
  <si>
    <t>May</t>
  </si>
  <si>
    <t>Blairhall</t>
  </si>
  <si>
    <t>West Fife Villages</t>
  </si>
  <si>
    <t>2017/18</t>
  </si>
  <si>
    <t>2020/21</t>
  </si>
  <si>
    <t>October</t>
  </si>
  <si>
    <t>Potential</t>
  </si>
  <si>
    <t>TBC</t>
  </si>
  <si>
    <t xml:space="preserve">South Avenue (South) </t>
  </si>
  <si>
    <t>FC PSD</t>
  </si>
  <si>
    <t>Add - to be approved</t>
  </si>
  <si>
    <t>P40182</t>
  </si>
  <si>
    <t>Cupar Road Phase 2</t>
  </si>
  <si>
    <t>Bonnybank</t>
  </si>
  <si>
    <t>Levenmouth</t>
  </si>
  <si>
    <t>February</t>
  </si>
  <si>
    <t>OTS</t>
  </si>
  <si>
    <t>P40188</t>
  </si>
  <si>
    <t>Grange Road</t>
  </si>
  <si>
    <t>Burntisland</t>
  </si>
  <si>
    <t>Kirkcaldy</t>
  </si>
  <si>
    <t>Former Greenmount Hotel</t>
  </si>
  <si>
    <t xml:space="preserve">April </t>
  </si>
  <si>
    <t>2026/27</t>
  </si>
  <si>
    <t>Ged Mill Close</t>
  </si>
  <si>
    <t>KI</t>
  </si>
  <si>
    <t>MMR 30</t>
  </si>
  <si>
    <t>Former Denbeath Church</t>
  </si>
  <si>
    <t>Buckhaven</t>
  </si>
  <si>
    <t>P41482</t>
  </si>
  <si>
    <t>Conscience Bridge</t>
  </si>
  <si>
    <t>Cairneyhill</t>
  </si>
  <si>
    <t>3 - tender approval</t>
  </si>
  <si>
    <t>Balgonie Grove (Jamphlars Ph1)</t>
  </si>
  <si>
    <t>Cardenden</t>
  </si>
  <si>
    <t>OVHA</t>
  </si>
  <si>
    <t>2018/19</t>
  </si>
  <si>
    <t>P41451</t>
  </si>
  <si>
    <t>Woodend Road</t>
  </si>
  <si>
    <t>T34135</t>
  </si>
  <si>
    <t xml:space="preserve">Carnock </t>
  </si>
  <si>
    <t>P43210</t>
  </si>
  <si>
    <t>Kinglassie Road</t>
  </si>
  <si>
    <t>Cluny</t>
  </si>
  <si>
    <t>P43400</t>
  </si>
  <si>
    <t>Millburn Avenue</t>
  </si>
  <si>
    <t>Coaltown of Balgonie</t>
  </si>
  <si>
    <t>Glenrothes</t>
  </si>
  <si>
    <t>T36573</t>
  </si>
  <si>
    <t>Colinsburgh</t>
  </si>
  <si>
    <t>T36574</t>
  </si>
  <si>
    <t>T36507</t>
  </si>
  <si>
    <t>High Street</t>
  </si>
  <si>
    <t xml:space="preserve">Cowdenbeath </t>
  </si>
  <si>
    <t>FHG</t>
  </si>
  <si>
    <t>FHG (A)</t>
  </si>
  <si>
    <t>Programmed</t>
  </si>
  <si>
    <t>P41381</t>
  </si>
  <si>
    <t>Valley House, Hill Street</t>
  </si>
  <si>
    <t>November</t>
  </si>
  <si>
    <t>P44074</t>
  </si>
  <si>
    <t>Ordnance Road</t>
  </si>
  <si>
    <t>Crombie</t>
  </si>
  <si>
    <t>P41484</t>
  </si>
  <si>
    <t>Pitconochie Farm</t>
  </si>
  <si>
    <t>Crossford</t>
  </si>
  <si>
    <t>P41457</t>
  </si>
  <si>
    <t>Manse Road (CRO002)</t>
  </si>
  <si>
    <t>Crossgates</t>
  </si>
  <si>
    <t>P41314</t>
  </si>
  <si>
    <t>Inchgall Avenue MS</t>
  </si>
  <si>
    <t>Crosshill</t>
  </si>
  <si>
    <t>Inner Court</t>
  </si>
  <si>
    <t>Cupar</t>
  </si>
  <si>
    <t>P41467</t>
  </si>
  <si>
    <t>Gilliesfaulds Phase 1 (SR)</t>
  </si>
  <si>
    <t>P41491</t>
  </si>
  <si>
    <t>Cupar North (Phase1A)</t>
  </si>
  <si>
    <t>P41492</t>
  </si>
  <si>
    <t>Cupar North (Phase1B)</t>
  </si>
  <si>
    <t>P41479</t>
  </si>
  <si>
    <t>Gilliesfaulds (Phase 2 - SR)</t>
  </si>
  <si>
    <t>P41477</t>
  </si>
  <si>
    <t>Gilliesfaulds (Phase 2 - MMR)</t>
  </si>
  <si>
    <t>P41458</t>
  </si>
  <si>
    <t>P43184</t>
  </si>
  <si>
    <t>Dunfermline</t>
  </si>
  <si>
    <t>T36505</t>
  </si>
  <si>
    <t>Freescale Dunlin (Bellway) - Phase 2</t>
  </si>
  <si>
    <t>T36506</t>
  </si>
  <si>
    <t>Freescale Dunlin (Persimmon) - Phase 1</t>
  </si>
  <si>
    <t>P41465</t>
  </si>
  <si>
    <t>Blacklaw Road Phase 2 (EC Housing)</t>
  </si>
  <si>
    <t>P41505</t>
  </si>
  <si>
    <t>Broomhall SLA, Future Phases</t>
  </si>
  <si>
    <t>P41462</t>
  </si>
  <si>
    <t>P41461</t>
  </si>
  <si>
    <t>Aberdour Road (Former Pitcorthie PS) (EC Housing)</t>
  </si>
  <si>
    <t>P41503</t>
  </si>
  <si>
    <t>Broomhall (Phase 1)</t>
  </si>
  <si>
    <t>P41504</t>
  </si>
  <si>
    <t>Broomhall (Phase 2)</t>
  </si>
  <si>
    <t>P41463</t>
  </si>
  <si>
    <t>Townhill Road (DUN038) Phase 1</t>
  </si>
  <si>
    <t>Removed - to be approved</t>
  </si>
  <si>
    <t>P43414</t>
  </si>
  <si>
    <t>Milesmark (DUN033)</t>
  </si>
  <si>
    <t>P41489</t>
  </si>
  <si>
    <t>Meadowlands North</t>
  </si>
  <si>
    <t>P41459</t>
  </si>
  <si>
    <t>Rumblingwell (Former Milesmark Depot)</t>
  </si>
  <si>
    <t>P43377</t>
  </si>
  <si>
    <t>Woodmill Street MS</t>
  </si>
  <si>
    <t>P43286</t>
  </si>
  <si>
    <t>Halbeath SDA</t>
  </si>
  <si>
    <t>P43209</t>
  </si>
  <si>
    <t>Bellyeoman Road</t>
  </si>
  <si>
    <t>P43182</t>
  </si>
  <si>
    <t>Pilmuir Street (Block 1)</t>
  </si>
  <si>
    <t>P43208</t>
  </si>
  <si>
    <t>Pilmuir Street (Block 2)</t>
  </si>
  <si>
    <t>P43407</t>
  </si>
  <si>
    <t>South Castle Drive</t>
  </si>
  <si>
    <t>P43199</t>
  </si>
  <si>
    <t>Borelands Road</t>
  </si>
  <si>
    <t>Dysart</t>
  </si>
  <si>
    <t>P41450</t>
  </si>
  <si>
    <t>Wadeslea</t>
  </si>
  <si>
    <t>Elie</t>
  </si>
  <si>
    <t>St Johns Works</t>
  </si>
  <si>
    <t>Falkland</t>
  </si>
  <si>
    <t>Fife</t>
  </si>
  <si>
    <t>P41389</t>
  </si>
  <si>
    <t>Open Market Transactions 21/22 Phase 1</t>
  </si>
  <si>
    <t>Open Market Transactions 21/22 Phase 2</t>
  </si>
  <si>
    <t>P43376</t>
  </si>
  <si>
    <t>Open Market Transactions 24/25</t>
  </si>
  <si>
    <t>P41390</t>
  </si>
  <si>
    <t>Open Market Transactions 22/23</t>
  </si>
  <si>
    <t>P41391</t>
  </si>
  <si>
    <t>Open Market Transactions 23/24</t>
  </si>
  <si>
    <t>Tay Coast</t>
  </si>
  <si>
    <t>P40353</t>
  </si>
  <si>
    <t>Balgove Road</t>
  </si>
  <si>
    <t>Gauldry</t>
  </si>
  <si>
    <t>GHA</t>
  </si>
  <si>
    <t>P41364</t>
  </si>
  <si>
    <t>Westwood Park</t>
  </si>
  <si>
    <t xml:space="preserve">Westwood Phase 2 </t>
  </si>
  <si>
    <t>P41471</t>
  </si>
  <si>
    <t>Glenwood</t>
  </si>
  <si>
    <t>P41392</t>
  </si>
  <si>
    <t>Viewfield</t>
  </si>
  <si>
    <t>P40203</t>
  </si>
  <si>
    <t>Detroit Road</t>
  </si>
  <si>
    <t>P43856</t>
  </si>
  <si>
    <t>Queensgate, Former Tullis Russell Mill</t>
  </si>
  <si>
    <t>P43855</t>
  </si>
  <si>
    <t>Queensgate, Former Tullis Russell Mill Phase 2</t>
  </si>
  <si>
    <t>Napier Road, (Former Police Station)</t>
  </si>
  <si>
    <t>P41473</t>
  </si>
  <si>
    <t>Seggie Farm Phase 3</t>
  </si>
  <si>
    <t>Guardbridge</t>
  </si>
  <si>
    <t>P41365</t>
  </si>
  <si>
    <t>Seggie Farm Phase 2</t>
  </si>
  <si>
    <t>T36452</t>
  </si>
  <si>
    <t>Toll Road Phase 2B</t>
  </si>
  <si>
    <t>2027/28</t>
  </si>
  <si>
    <t>T36451</t>
  </si>
  <si>
    <t>Toll Road Phase 2A</t>
  </si>
  <si>
    <t>P41315</t>
  </si>
  <si>
    <t>Chapel Place MS</t>
  </si>
  <si>
    <t>High Valleyfield</t>
  </si>
  <si>
    <t>P41400</t>
  </si>
  <si>
    <t>Daly Gardens</t>
  </si>
  <si>
    <t>T36239</t>
  </si>
  <si>
    <t>Echobank</t>
  </si>
  <si>
    <t>Inverkeithing</t>
  </si>
  <si>
    <t>T36504</t>
  </si>
  <si>
    <t>Fraser Avenue Phase 2</t>
  </si>
  <si>
    <t>P41447</t>
  </si>
  <si>
    <t>Fraser Avenue Phase 3</t>
  </si>
  <si>
    <t>P41448</t>
  </si>
  <si>
    <t>Fraser Avenue Phase 4</t>
  </si>
  <si>
    <t>P44511</t>
  </si>
  <si>
    <t>Prestonhill Quarry</t>
  </si>
  <si>
    <t>P41480</t>
  </si>
  <si>
    <t>Keltyhill Road</t>
  </si>
  <si>
    <t>Kelty</t>
  </si>
  <si>
    <t>P43398</t>
  </si>
  <si>
    <t>Black Road</t>
  </si>
  <si>
    <t>P41322</t>
  </si>
  <si>
    <t>Langside Crescent Phase 2</t>
  </si>
  <si>
    <t>Kennoway</t>
  </si>
  <si>
    <t>Hallfields Gardens</t>
  </si>
  <si>
    <t>Langside Road</t>
  </si>
  <si>
    <t>P41374</t>
  </si>
  <si>
    <t>Upper Forth View  Phase 2</t>
  </si>
  <si>
    <t>Kincardine</t>
  </si>
  <si>
    <t xml:space="preserve"> </t>
  </si>
  <si>
    <t>P41375</t>
  </si>
  <si>
    <t>Upper Forth View, Phase 3</t>
  </si>
  <si>
    <t>P40812</t>
  </si>
  <si>
    <t>Upper Forth View, Phase 1</t>
  </si>
  <si>
    <t>P43401</t>
  </si>
  <si>
    <t>Cuddyhouse Road</t>
  </si>
  <si>
    <t>Kingseat</t>
  </si>
  <si>
    <t>P43853</t>
  </si>
  <si>
    <t>T36221</t>
  </si>
  <si>
    <t>Glen Albyn Drive, Phase 1 &amp; 2</t>
  </si>
  <si>
    <t>P41500</t>
  </si>
  <si>
    <t>Kingdom Park Phase 1</t>
  </si>
  <si>
    <t>T36502</t>
  </si>
  <si>
    <t>Kingdom Park Phase 2</t>
  </si>
  <si>
    <t>P41474</t>
  </si>
  <si>
    <t>Kirkcaldy SW SDA Phase 1</t>
  </si>
  <si>
    <t>P41320</t>
  </si>
  <si>
    <t>Union Street MS</t>
  </si>
  <si>
    <t>P43207</t>
  </si>
  <si>
    <t>Park Road</t>
  </si>
  <si>
    <t>T36567</t>
  </si>
  <si>
    <t>251-261 High Street (Former Co-op)</t>
  </si>
  <si>
    <t>P43402</t>
  </si>
  <si>
    <t>Viewforth High School</t>
  </si>
  <si>
    <t>Kingdom Park Phase 3</t>
  </si>
  <si>
    <t>Other Change - lead delivery partner</t>
  </si>
  <si>
    <t xml:space="preserve">Postings </t>
  </si>
  <si>
    <t>Ladybank</t>
  </si>
  <si>
    <t>Commercial Crescent Ph 3</t>
  </si>
  <si>
    <t>Leslie</t>
  </si>
  <si>
    <t>T33940</t>
  </si>
  <si>
    <t>Ingrie Farm</t>
  </si>
  <si>
    <t>P43378</t>
  </si>
  <si>
    <t>Hendersons Meadow</t>
  </si>
  <si>
    <t>Leuchars</t>
  </si>
  <si>
    <t>P43196</t>
  </si>
  <si>
    <t>Pitlethie Road</t>
  </si>
  <si>
    <t>P43915</t>
  </si>
  <si>
    <t>Pitlethie Road Phase 2</t>
  </si>
  <si>
    <t>P44066</t>
  </si>
  <si>
    <t>Rosemount Grove</t>
  </si>
  <si>
    <t>Leven</t>
  </si>
  <si>
    <t>P44408</t>
  </si>
  <si>
    <t>Station Road</t>
  </si>
  <si>
    <t>T36562</t>
  </si>
  <si>
    <t>Hall Street (Fab-tek Phase 1)</t>
  </si>
  <si>
    <t>Lochgelly</t>
  </si>
  <si>
    <t>P41317</t>
  </si>
  <si>
    <t>Berry Street MS</t>
  </si>
  <si>
    <t>P41385</t>
  </si>
  <si>
    <t>Jenny Gray House</t>
  </si>
  <si>
    <t>P41449</t>
  </si>
  <si>
    <t>Durham Wynd Phase 2</t>
  </si>
  <si>
    <t>Lower Largo</t>
  </si>
  <si>
    <t>Lochgelly Road LPH001</t>
  </si>
  <si>
    <t>Lumphinnans</t>
  </si>
  <si>
    <t>Markinch South (MAR001)</t>
  </si>
  <si>
    <t>Markinch</t>
  </si>
  <si>
    <t>Haig Busness Park</t>
  </si>
  <si>
    <t>P41287</t>
  </si>
  <si>
    <t>Kirkland (New Care Village)</t>
  </si>
  <si>
    <t>Methil</t>
  </si>
  <si>
    <t>P42648</t>
  </si>
  <si>
    <t>Methil Brae Phase 3</t>
  </si>
  <si>
    <t>P40205</t>
  </si>
  <si>
    <t>South of Cupar Road</t>
  </si>
  <si>
    <t xml:space="preserve">Newburgh </t>
  </si>
  <si>
    <t>P43248</t>
  </si>
  <si>
    <t>Land to South of Victoria Park</t>
  </si>
  <si>
    <t>Newport on Tay</t>
  </si>
  <si>
    <t>P41485</t>
  </si>
  <si>
    <t>Milton Road</t>
  </si>
  <si>
    <t>Pittenweem</t>
  </si>
  <si>
    <t>P43399</t>
  </si>
  <si>
    <t>off Station Court</t>
  </si>
  <si>
    <t>P41378</t>
  </si>
  <si>
    <t>Castle Road (Recreational Park)</t>
  </si>
  <si>
    <t>Rosyth</t>
  </si>
  <si>
    <t>P43854</t>
  </si>
  <si>
    <t>Hilton Gardens</t>
  </si>
  <si>
    <t>P43393</t>
  </si>
  <si>
    <t>Brankholm Brae Phase 1</t>
  </si>
  <si>
    <t>Whinnyburn Phase 1</t>
  </si>
  <si>
    <t>P41382</t>
  </si>
  <si>
    <t xml:space="preserve">West Road </t>
  </si>
  <si>
    <t>Saline</t>
  </si>
  <si>
    <t>P43185</t>
  </si>
  <si>
    <t>Crawley Court, Springfield</t>
  </si>
  <si>
    <t>Springfield</t>
  </si>
  <si>
    <t>P41478</t>
  </si>
  <si>
    <t>St Andrews SLA, Craigtoun Phase 1a</t>
  </si>
  <si>
    <t>P41506</t>
  </si>
  <si>
    <t>Craigtoun (Phase 2)</t>
  </si>
  <si>
    <t>P41481</t>
  </si>
  <si>
    <t>St Andrews SLA, Craigtoun Phase 1b</t>
  </si>
  <si>
    <t>P43392</t>
  </si>
  <si>
    <t>Kilrymont Road</t>
  </si>
  <si>
    <t>P41507</t>
  </si>
  <si>
    <t>Craigtoun (Phase 3)</t>
  </si>
  <si>
    <t>P41318</t>
  </si>
  <si>
    <t>Forgan Place (Prev Shoolbraids) MS</t>
  </si>
  <si>
    <t>T36512</t>
  </si>
  <si>
    <t>Mansfield</t>
  </si>
  <si>
    <t>St Monans</t>
  </si>
  <si>
    <t>T36565</t>
  </si>
  <si>
    <t>Bonfield Park</t>
  </si>
  <si>
    <t>Strathkinness</t>
  </si>
  <si>
    <t>P43391</t>
  </si>
  <si>
    <t>Cash Feus Phase 1</t>
  </si>
  <si>
    <t>Strathmiglo</t>
  </si>
  <si>
    <t>Cash Feus Phase 2</t>
  </si>
  <si>
    <t>P41319</t>
  </si>
  <si>
    <t>Links Road MS</t>
  </si>
  <si>
    <t>Tayport</t>
  </si>
  <si>
    <t>P41321</t>
  </si>
  <si>
    <t xml:space="preserve">Sandyhill Road (Church Land) </t>
  </si>
  <si>
    <t>Bell Street</t>
  </si>
  <si>
    <t>P43406</t>
  </si>
  <si>
    <t>Memorial Park</t>
  </si>
  <si>
    <t>Thornton</t>
  </si>
  <si>
    <t>Strathore Road (Thornton SLA)</t>
  </si>
  <si>
    <t>P41444</t>
  </si>
  <si>
    <t>Torryburn</t>
  </si>
  <si>
    <t>T36558</t>
  </si>
  <si>
    <t>Kilmany Road Phase 2</t>
  </si>
  <si>
    <t>Wormit</t>
  </si>
  <si>
    <t xml:space="preserve">  </t>
  </si>
  <si>
    <t>20/21</t>
  </si>
  <si>
    <t>21/22</t>
  </si>
  <si>
    <t>22/23</t>
  </si>
  <si>
    <t>23/24</t>
  </si>
  <si>
    <t>5 - completed</t>
  </si>
  <si>
    <t>FC BS</t>
  </si>
  <si>
    <t>Annual Need - HNDA</t>
  </si>
  <si>
    <t>5 Year Need - HNDA</t>
  </si>
  <si>
    <t>10 Year Need - HNDA</t>
  </si>
  <si>
    <t>Total Programme</t>
  </si>
  <si>
    <t>Completed</t>
  </si>
  <si>
    <r>
      <t>Oversupply/ (Shortfall) (</t>
    </r>
    <r>
      <rPr>
        <b/>
        <sz val="16"/>
        <color rgb="FFFFFFFF"/>
        <rFont val="Arial"/>
        <family val="2"/>
      </rPr>
      <t>5</t>
    </r>
    <r>
      <rPr>
        <b/>
        <sz val="10"/>
        <color rgb="FFFFFFFF"/>
        <rFont val="Arial"/>
        <family val="2"/>
      </rPr>
      <t xml:space="preserve"> Year Need)</t>
    </r>
  </si>
  <si>
    <t>% of 5 Year Need</t>
  </si>
  <si>
    <r>
      <t>Oversupply/ (Shortfall) (</t>
    </r>
    <r>
      <rPr>
        <b/>
        <sz val="16"/>
        <color rgb="FF000000"/>
        <rFont val="Arial"/>
        <family val="2"/>
      </rPr>
      <t>10</t>
    </r>
    <r>
      <rPr>
        <b/>
        <sz val="10"/>
        <color rgb="FF000000"/>
        <rFont val="Arial"/>
        <family val="2"/>
      </rPr>
      <t xml:space="preserve"> Year Need)</t>
    </r>
  </si>
  <si>
    <t>% of 10 Year Need</t>
  </si>
  <si>
    <r>
      <t>Oversupply/ (Shortfall) inc. potential (</t>
    </r>
    <r>
      <rPr>
        <b/>
        <sz val="16"/>
        <color rgb="FF000000"/>
        <rFont val="Arial"/>
        <family val="2"/>
      </rPr>
      <t>5</t>
    </r>
    <r>
      <rPr>
        <b/>
        <sz val="10"/>
        <color rgb="FF000000"/>
        <rFont val="Arial"/>
        <family val="2"/>
      </rPr>
      <t xml:space="preserve"> Year Need)</t>
    </r>
  </si>
  <si>
    <r>
      <t>Oversupply/ (Shortfall) inc. potential (</t>
    </r>
    <r>
      <rPr>
        <b/>
        <sz val="16"/>
        <color rgb="FF000000"/>
        <rFont val="Arial"/>
        <family val="2"/>
      </rPr>
      <t>10</t>
    </r>
    <r>
      <rPr>
        <b/>
        <sz val="10"/>
        <color rgb="FF000000"/>
        <rFont val="Arial"/>
        <family val="2"/>
      </rPr>
      <t xml:space="preserve"> Year Need)</t>
    </r>
  </si>
  <si>
    <r>
      <t>Oversupply/ (Shortfall) inc. programmed (</t>
    </r>
    <r>
      <rPr>
        <b/>
        <sz val="16"/>
        <color rgb="FF000000"/>
        <rFont val="Arial"/>
        <family val="2"/>
      </rPr>
      <t>5</t>
    </r>
    <r>
      <rPr>
        <b/>
        <sz val="10"/>
        <color rgb="FF000000"/>
        <rFont val="Arial"/>
        <family val="2"/>
      </rPr>
      <t xml:space="preserve"> Year Need)</t>
    </r>
  </si>
  <si>
    <r>
      <t>Oversupply/ (Shortfall) inc. potential (</t>
    </r>
    <r>
      <rPr>
        <b/>
        <sz val="16"/>
        <color rgb="FF000000"/>
        <rFont val="Arial"/>
        <family val="2"/>
      </rPr>
      <t>10</t>
    </r>
    <r>
      <rPr>
        <b/>
        <sz val="10"/>
        <color rgb="FF000000"/>
        <rFont val="Arial"/>
        <family val="2"/>
      </rPr>
      <t xml:space="preserve"> Year Need)</t>
    </r>
  </si>
  <si>
    <t>Dunf &amp; Coast</t>
  </si>
  <si>
    <t xml:space="preserve">Fife Wide/Total </t>
  </si>
  <si>
    <t>Estimated Housing Need and Demand / Average Annualised 2017-32 by LHSA</t>
  </si>
  <si>
    <t>Based on Census 2011 and 2014 based household projections using Knowfife to disaggregate households / disaggregation of homes from TAYplan &amp; SESplan levels</t>
  </si>
  <si>
    <t xml:space="preserve">The need figures by LHS Area are ‘indicative’.  </t>
  </si>
  <si>
    <t>17/18</t>
  </si>
  <si>
    <t>18/19</t>
  </si>
  <si>
    <t>19/20</t>
  </si>
  <si>
    <t>Stage</t>
  </si>
  <si>
    <t xml:space="preserve">This sheet has all the options for the dropdown lists on the main sheet. Blank rows have been left to allow extra options to be added in the future - please do not delete them. </t>
  </si>
  <si>
    <t>SLP Status</t>
  </si>
  <si>
    <t>2028/29</t>
  </si>
  <si>
    <t>MMR 5</t>
  </si>
  <si>
    <t>PSR</t>
  </si>
  <si>
    <t>Other</t>
  </si>
  <si>
    <t>Staged</t>
  </si>
  <si>
    <t>Other Change - see comments</t>
  </si>
  <si>
    <t>Block</t>
  </si>
  <si>
    <t>A</t>
  </si>
  <si>
    <t>B</t>
  </si>
  <si>
    <t>Shadow</t>
  </si>
  <si>
    <t>Lead Officer</t>
  </si>
  <si>
    <t>S Kirkpatrick</t>
  </si>
  <si>
    <t xml:space="preserve">J Watson </t>
  </si>
  <si>
    <t>A Henderson</t>
  </si>
  <si>
    <t>M Glennie</t>
  </si>
  <si>
    <t xml:space="preserve">C Hunter </t>
  </si>
  <si>
    <t>A Kennedy</t>
  </si>
  <si>
    <t>D Robertson</t>
  </si>
  <si>
    <t>Open Market Transactions 25/26</t>
  </si>
  <si>
    <t>HMA</t>
  </si>
  <si>
    <t>% Wheelchair Units</t>
  </si>
  <si>
    <t>Dunfermline &amp; West</t>
  </si>
  <si>
    <t>Kirkcaldy, Glenrothes &amp; Central</t>
  </si>
  <si>
    <t>Cupar &amp; North West</t>
  </si>
  <si>
    <t>St Andrews &amp; North East</t>
  </si>
  <si>
    <t>Units to be delivered - 23</t>
  </si>
  <si>
    <t>Units to be delivered - 25</t>
  </si>
  <si>
    <t>Units to be delivered - 6</t>
  </si>
  <si>
    <t>Units to be delivered - 50</t>
  </si>
  <si>
    <t>Units to be delivered - 24</t>
  </si>
  <si>
    <t>Units to be delivered - 35</t>
  </si>
  <si>
    <t>Units to be delivered - 40</t>
  </si>
  <si>
    <t>Units to be delivered - 49</t>
  </si>
  <si>
    <t>P44406</t>
  </si>
  <si>
    <t>Natal Place</t>
  </si>
  <si>
    <t>Eden Park (Former Care Home)</t>
  </si>
  <si>
    <t>Bank Street (Former Dalgairn Centre) (New Care Village)</t>
  </si>
  <si>
    <t xml:space="preserve">Carslogie Road (Former Police Station) </t>
  </si>
  <si>
    <t>P44701</t>
  </si>
  <si>
    <t>P44702</t>
  </si>
  <si>
    <t xml:space="preserve">North Fod Phase 2 </t>
  </si>
  <si>
    <t>P44703</t>
  </si>
  <si>
    <t>P44704</t>
  </si>
  <si>
    <t>P44705</t>
  </si>
  <si>
    <t>P44706</t>
  </si>
  <si>
    <t>P44707</t>
  </si>
  <si>
    <t>P44708</t>
  </si>
  <si>
    <t>P44709</t>
  </si>
  <si>
    <t>P44710</t>
  </si>
  <si>
    <t>P44711</t>
  </si>
  <si>
    <t>P44712</t>
  </si>
  <si>
    <t>SG Grant Pre 2020/2021 (£m)</t>
  </si>
  <si>
    <t>P44713</t>
  </si>
  <si>
    <t>P44714</t>
  </si>
  <si>
    <t>P44715</t>
  </si>
  <si>
    <t>P44716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</si>
</sst>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"/>
    <numFmt numFmtId="165" formatCode="&quot;£&quot;#,##0.000"/>
    <numFmt numFmtId="166" formatCode="_-&quot;£&quot;* #,##0.000_-;\-&quot;£&quot;* #,##0.000_-;_-&quot;£&quot;* &quot;-&quot;???_-;_-@"/>
    <numFmt numFmtId="167" formatCode="&quot;£&quot;#,##0.00"/>
    <numFmt numFmtId="168" formatCode="0.000"/>
    <numFmt numFmtId="169" formatCode="_-* #,##0_-;\-* #,##0_-;_-* &quot;-&quot;??_-;_-@"/>
    <numFmt numFmtId="170" formatCode="_-&quot;£&quot;* #,##0.000_-;\-&quot;£&quot;* #,##0.000_-;_-&quot;£&quot;* &quot;-&quot;??_-;_-@"/>
    <numFmt numFmtId="171" formatCode="#,##0;[Red]\(#,##0\)"/>
  </numFmts>
  <fonts count="25">
    <font>
      <sz val="10"/>
      <color rgb="FF000000"/>
      <name val="Arial"/>
    </font>
    <font>
      <sz val="10"/>
      <color theme="1"/>
      <name val="Arial"/>
      <family val="2"/>
    </font>
    <font>
      <sz val="10"/>
      <color rgb="FF003366"/>
      <name val="Arial"/>
      <family val="2"/>
    </font>
    <font>
      <sz val="10"/>
      <color theme="1"/>
      <name val="Calibri"/>
      <family val="2"/>
    </font>
    <font>
      <sz val="78"/>
      <color rgb="FF003366"/>
      <name val="Scottish government logo"/>
    </font>
    <font>
      <sz val="18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Roboto"/>
    </font>
    <font>
      <sz val="10"/>
      <color theme="1"/>
      <name val="Calibri"/>
      <family val="2"/>
    </font>
    <font>
      <b/>
      <sz val="11"/>
      <color rgb="FF444444"/>
      <name val="Calibri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10"/>
      <color rgb="FFFFFFFF"/>
      <name val="Arial"/>
      <family val="2"/>
    </font>
    <font>
      <sz val="12"/>
      <color rgb="FF333333"/>
      <name val="Georgia"/>
      <family val="1"/>
    </font>
    <font>
      <b/>
      <sz val="16"/>
      <color rgb="FFFFFFFF"/>
      <name val="Arial"/>
      <family val="2"/>
    </font>
    <font>
      <b/>
      <sz val="16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DDDDDD"/>
        <bgColor rgb="FFDDDDDD"/>
      </patternFill>
    </fill>
    <fill>
      <patternFill patternType="solid">
        <fgColor rgb="FF0070C0"/>
        <bgColor rgb="FF0070C0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C2D69B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rgb="FFC6D9F0"/>
      </patternFill>
    </fill>
    <fill>
      <patternFill patternType="solid">
        <fgColor theme="6" tint="0.39997558519241921"/>
        <bgColor rgb="FFD8D8D8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3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5" borderId="2" xfId="0" applyFont="1" applyFill="1" applyBorder="1" applyAlignment="1">
      <alignment horizontal="center" textRotation="90"/>
    </xf>
    <xf numFmtId="0" fontId="9" fillId="5" borderId="2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left" wrapText="1"/>
    </xf>
    <xf numFmtId="0" fontId="9" fillId="5" borderId="2" xfId="0" applyFont="1" applyFill="1" applyBorder="1" applyAlignment="1">
      <alignment horizontal="left" textRotation="90" wrapText="1"/>
    </xf>
    <xf numFmtId="0" fontId="7" fillId="5" borderId="2" xfId="0" applyFont="1" applyFill="1" applyBorder="1" applyAlignment="1">
      <alignment horizontal="left" textRotation="90" wrapText="1"/>
    </xf>
    <xf numFmtId="0" fontId="7" fillId="4" borderId="2" xfId="0" applyFont="1" applyFill="1" applyBorder="1" applyAlignment="1">
      <alignment horizontal="left" textRotation="90" wrapText="1"/>
    </xf>
    <xf numFmtId="0" fontId="1" fillId="5" borderId="2" xfId="0" applyFont="1" applyFill="1" applyBorder="1" applyAlignment="1">
      <alignment horizontal="left" textRotation="90" wrapText="1"/>
    </xf>
    <xf numFmtId="164" fontId="7" fillId="5" borderId="2" xfId="0" applyNumberFormat="1" applyFont="1" applyFill="1" applyBorder="1" applyAlignment="1">
      <alignment horizontal="center" textRotation="90"/>
    </xf>
    <xf numFmtId="164" fontId="7" fillId="5" borderId="2" xfId="0" applyNumberFormat="1" applyFont="1" applyFill="1" applyBorder="1" applyAlignment="1">
      <alignment horizontal="center" textRotation="90"/>
    </xf>
    <xf numFmtId="164" fontId="7" fillId="4" borderId="2" xfId="0" applyNumberFormat="1" applyFont="1" applyFill="1" applyBorder="1" applyAlignment="1">
      <alignment horizontal="center" textRotation="90"/>
    </xf>
    <xf numFmtId="164" fontId="7" fillId="5" borderId="2" xfId="0" applyNumberFormat="1" applyFont="1" applyFill="1" applyBorder="1" applyAlignment="1">
      <alignment horizontal="left" textRotation="90"/>
    </xf>
    <xf numFmtId="0" fontId="7" fillId="5" borderId="2" xfId="0" applyFont="1" applyFill="1" applyBorder="1" applyAlignment="1">
      <alignment horizontal="center" textRotation="9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  <xf numFmtId="0" fontId="1" fillId="0" borderId="10" xfId="0" applyFont="1" applyBorder="1"/>
    <xf numFmtId="0" fontId="1" fillId="0" borderId="2" xfId="0" applyFont="1" applyBorder="1" applyAlignment="1">
      <alignment horizontal="left" vertical="center" wrapText="1"/>
    </xf>
    <xf numFmtId="0" fontId="0" fillId="0" borderId="10" xfId="0" applyFont="1" applyBorder="1"/>
    <xf numFmtId="0" fontId="1" fillId="0" borderId="2" xfId="0" applyFont="1" applyBorder="1"/>
    <xf numFmtId="1" fontId="0" fillId="0" borderId="2" xfId="0" applyNumberFormat="1" applyFont="1" applyBorder="1"/>
    <xf numFmtId="0" fontId="0" fillId="0" borderId="4" xfId="0" applyFont="1" applyBorder="1"/>
    <xf numFmtId="1" fontId="1" fillId="0" borderId="2" xfId="0" applyNumberFormat="1" applyFont="1" applyBorder="1"/>
    <xf numFmtId="0" fontId="0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1" fontId="0" fillId="0" borderId="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0" fillId="0" borderId="4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7" fillId="0" borderId="0" xfId="0" applyFont="1"/>
    <xf numFmtId="0" fontId="0" fillId="0" borderId="10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1" fontId="1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vertical="center" wrapText="1"/>
    </xf>
    <xf numFmtId="0" fontId="0" fillId="0" borderId="3" xfId="0" applyFont="1" applyBorder="1"/>
    <xf numFmtId="0" fontId="1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/>
    <xf numFmtId="3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top"/>
    </xf>
    <xf numFmtId="165" fontId="9" fillId="4" borderId="2" xfId="0" applyNumberFormat="1" applyFont="1" applyFill="1" applyBorder="1" applyAlignment="1">
      <alignment horizontal="center" vertical="center"/>
    </xf>
    <xf numFmtId="0" fontId="9" fillId="0" borderId="0" xfId="0" applyFont="1"/>
    <xf numFmtId="0" fontId="0" fillId="0" borderId="2" xfId="0" applyFont="1" applyBorder="1" applyAlignment="1">
      <alignment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1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vertical="top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vertical="center" wrapText="1"/>
    </xf>
    <xf numFmtId="169" fontId="1" fillId="2" borderId="5" xfId="0" applyNumberFormat="1" applyFont="1" applyFill="1" applyBorder="1" applyAlignment="1">
      <alignment horizontal="center" vertical="center" wrapText="1"/>
    </xf>
    <xf numFmtId="169" fontId="7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top" wrapText="1"/>
    </xf>
    <xf numFmtId="165" fontId="7" fillId="2" borderId="5" xfId="0" applyNumberFormat="1" applyFont="1" applyFill="1" applyBorder="1" applyAlignment="1">
      <alignment horizontal="center" vertical="top" wrapText="1"/>
    </xf>
    <xf numFmtId="170" fontId="7" fillId="2" borderId="14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4" xfId="0" applyFont="1" applyFill="1" applyBorder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top"/>
    </xf>
    <xf numFmtId="0" fontId="1" fillId="0" borderId="19" xfId="0" applyFont="1" applyBorder="1"/>
    <xf numFmtId="0" fontId="13" fillId="0" borderId="0" xfId="0" applyFont="1" applyAlignment="1">
      <alignment horizontal="left"/>
    </xf>
    <xf numFmtId="9" fontId="1" fillId="0" borderId="0" xfId="0" applyNumberFormat="1" applyFont="1"/>
    <xf numFmtId="0" fontId="1" fillId="0" borderId="20" xfId="0" applyFont="1" applyBorder="1"/>
    <xf numFmtId="0" fontId="1" fillId="0" borderId="6" xfId="0" applyFont="1" applyBorder="1"/>
    <xf numFmtId="0" fontId="1" fillId="0" borderId="0" xfId="0" quotePrefix="1" applyFont="1"/>
    <xf numFmtId="0" fontId="1" fillId="0" borderId="20" xfId="0" quotePrefix="1" applyFont="1" applyBorder="1"/>
    <xf numFmtId="0" fontId="1" fillId="0" borderId="0" xfId="0" applyFont="1" applyAlignment="1">
      <alignment horizontal="left"/>
    </xf>
    <xf numFmtId="165" fontId="7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5" fontId="7" fillId="4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2" fontId="7" fillId="6" borderId="23" xfId="0" applyNumberFormat="1" applyFont="1" applyFill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5" fillId="7" borderId="2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center" wrapText="1"/>
    </xf>
    <xf numFmtId="3" fontId="16" fillId="7" borderId="2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3" fontId="9" fillId="0" borderId="24" xfId="0" applyNumberFormat="1" applyFont="1" applyBorder="1" applyAlignment="1">
      <alignment horizontal="center" wrapText="1"/>
    </xf>
    <xf numFmtId="3" fontId="7" fillId="8" borderId="24" xfId="0" applyNumberFormat="1" applyFont="1" applyFill="1" applyBorder="1" applyAlignment="1">
      <alignment horizontal="center" wrapText="1"/>
    </xf>
    <xf numFmtId="3" fontId="9" fillId="8" borderId="2" xfId="0" applyNumberFormat="1" applyFont="1" applyFill="1" applyBorder="1" applyAlignment="1">
      <alignment horizontal="center" wrapText="1"/>
    </xf>
    <xf numFmtId="3" fontId="7" fillId="8" borderId="2" xfId="0" applyNumberFormat="1" applyFont="1" applyFill="1" applyBorder="1" applyAlignment="1">
      <alignment horizontal="center" wrapText="1"/>
    </xf>
    <xf numFmtId="3" fontId="1" fillId="6" borderId="23" xfId="0" applyNumberFormat="1" applyFont="1" applyFill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171" fontId="1" fillId="0" borderId="2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71" fontId="1" fillId="0" borderId="25" xfId="0" applyNumberFormat="1" applyFont="1" applyBorder="1" applyAlignment="1">
      <alignment horizontal="center"/>
    </xf>
    <xf numFmtId="0" fontId="1" fillId="8" borderId="2" xfId="0" applyFont="1" applyFill="1" applyBorder="1"/>
    <xf numFmtId="171" fontId="1" fillId="8" borderId="2" xfId="0" applyNumberFormat="1" applyFont="1" applyFill="1" applyBorder="1" applyAlignment="1">
      <alignment horizontal="center"/>
    </xf>
    <xf numFmtId="9" fontId="1" fillId="8" borderId="9" xfId="0" applyNumberFormat="1" applyFont="1" applyFill="1" applyBorder="1" applyAlignment="1">
      <alignment horizontal="center"/>
    </xf>
    <xf numFmtId="9" fontId="1" fillId="8" borderId="2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6" borderId="23" xfId="0" applyNumberFormat="1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171" fontId="7" fillId="0" borderId="2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171" fontId="7" fillId="0" borderId="25" xfId="0" applyNumberFormat="1" applyFont="1" applyBorder="1" applyAlignment="1">
      <alignment horizontal="center"/>
    </xf>
    <xf numFmtId="171" fontId="7" fillId="8" borderId="24" xfId="0" applyNumberFormat="1" applyFont="1" applyFill="1" applyBorder="1" applyAlignment="1">
      <alignment horizontal="center"/>
    </xf>
    <xf numFmtId="171" fontId="7" fillId="8" borderId="2" xfId="0" applyNumberFormat="1" applyFont="1" applyFill="1" applyBorder="1" applyAlignment="1">
      <alignment horizontal="center"/>
    </xf>
    <xf numFmtId="9" fontId="7" fillId="8" borderId="2" xfId="0" applyNumberFormat="1" applyFont="1" applyFill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1" fillId="3" borderId="1" xfId="0" applyFont="1" applyFill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7" fillId="0" borderId="0" xfId="0" applyFont="1"/>
    <xf numFmtId="1" fontId="0" fillId="10" borderId="2" xfId="0" applyNumberFormat="1" applyFont="1" applyFill="1" applyBorder="1" applyAlignment="1">
      <alignment horizontal="left" vertical="center" wrapText="1"/>
    </xf>
    <xf numFmtId="0" fontId="1" fillId="10" borderId="2" xfId="0" applyFont="1" applyFill="1" applyBorder="1" applyAlignment="1"/>
    <xf numFmtId="0" fontId="0" fillId="10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0" fillId="11" borderId="2" xfId="0" applyFont="1" applyFill="1" applyBorder="1" applyAlignment="1">
      <alignment horizontal="left" vertical="center" wrapText="1"/>
    </xf>
    <xf numFmtId="1" fontId="0" fillId="11" borderId="2" xfId="0" applyNumberFormat="1" applyFont="1" applyFill="1" applyBorder="1" applyAlignment="1">
      <alignment horizontal="left" vertical="center" wrapText="1"/>
    </xf>
    <xf numFmtId="0" fontId="1" fillId="11" borderId="2" xfId="0" applyFont="1" applyFill="1" applyBorder="1" applyAlignment="1">
      <alignment horizontal="left"/>
    </xf>
    <xf numFmtId="1" fontId="7" fillId="13" borderId="2" xfId="0" applyNumberFormat="1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left" vertical="center" wrapText="1"/>
    </xf>
    <xf numFmtId="165" fontId="1" fillId="11" borderId="2" xfId="0" applyNumberFormat="1" applyFont="1" applyFill="1" applyBorder="1" applyAlignment="1">
      <alignment horizontal="center" vertical="center" wrapText="1"/>
    </xf>
    <xf numFmtId="165" fontId="7" fillId="11" borderId="2" xfId="0" applyNumberFormat="1" applyFont="1" applyFill="1" applyBorder="1" applyAlignment="1">
      <alignment horizontal="center" vertical="center" wrapText="1"/>
    </xf>
    <xf numFmtId="165" fontId="1" fillId="11" borderId="2" xfId="0" applyNumberFormat="1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3" fontId="1" fillId="11" borderId="2" xfId="0" applyNumberFormat="1" applyFont="1" applyFill="1" applyBorder="1" applyAlignment="1">
      <alignment horizontal="center"/>
    </xf>
    <xf numFmtId="3" fontId="1" fillId="11" borderId="2" xfId="0" applyNumberFormat="1" applyFont="1" applyFill="1" applyBorder="1" applyAlignment="1">
      <alignment horizontal="center" vertical="center"/>
    </xf>
    <xf numFmtId="0" fontId="1" fillId="11" borderId="0" xfId="0" applyFont="1" applyFill="1"/>
    <xf numFmtId="0" fontId="0" fillId="11" borderId="0" xfId="0" applyFont="1" applyFill="1" applyAlignment="1"/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/>
    </xf>
    <xf numFmtId="0" fontId="0" fillId="11" borderId="2" xfId="0" applyFont="1" applyFill="1" applyBorder="1"/>
    <xf numFmtId="0" fontId="1" fillId="11" borderId="2" xfId="0" applyFont="1" applyFill="1" applyBorder="1" applyAlignment="1"/>
    <xf numFmtId="0" fontId="1" fillId="10" borderId="2" xfId="0" applyFont="1" applyFill="1" applyBorder="1" applyAlignment="1">
      <alignment horizontal="left" vertical="center" wrapText="1"/>
    </xf>
    <xf numFmtId="0" fontId="0" fillId="11" borderId="4" xfId="0" applyFont="1" applyFill="1" applyBorder="1" applyAlignment="1">
      <alignment horizontal="left"/>
    </xf>
    <xf numFmtId="1" fontId="1" fillId="11" borderId="2" xfId="0" applyNumberFormat="1" applyFont="1" applyFill="1" applyBorder="1" applyAlignment="1">
      <alignment horizontal="left" vertical="center" wrapText="1"/>
    </xf>
    <xf numFmtId="0" fontId="1" fillId="11" borderId="4" xfId="0" applyFont="1" applyFill="1" applyBorder="1" applyAlignment="1">
      <alignment horizontal="left"/>
    </xf>
    <xf numFmtId="0" fontId="1" fillId="11" borderId="4" xfId="0" applyFont="1" applyFill="1" applyBorder="1" applyAlignment="1"/>
    <xf numFmtId="0" fontId="1" fillId="11" borderId="2" xfId="0" applyFont="1" applyFill="1" applyBorder="1" applyAlignment="1">
      <alignment horizontal="left" vertical="center"/>
    </xf>
    <xf numFmtId="0" fontId="0" fillId="11" borderId="2" xfId="0" applyFont="1" applyFill="1" applyBorder="1" applyAlignment="1">
      <alignment horizontal="left" vertical="center"/>
    </xf>
    <xf numFmtId="0" fontId="0" fillId="11" borderId="2" xfId="0" applyFont="1" applyFill="1" applyBorder="1" applyAlignment="1">
      <alignment horizontal="left"/>
    </xf>
    <xf numFmtId="0" fontId="1" fillId="11" borderId="2" xfId="0" applyFont="1" applyFill="1" applyBorder="1"/>
    <xf numFmtId="0" fontId="0" fillId="11" borderId="4" xfId="0" applyFont="1" applyFill="1" applyBorder="1" applyAlignment="1">
      <alignment horizontal="left" vertical="center"/>
    </xf>
    <xf numFmtId="17" fontId="1" fillId="11" borderId="4" xfId="0" applyNumberFormat="1" applyFont="1" applyFill="1" applyBorder="1" applyAlignment="1">
      <alignment horizontal="left" vertical="center"/>
    </xf>
    <xf numFmtId="0" fontId="20" fillId="11" borderId="2" xfId="0" applyFont="1" applyFill="1" applyBorder="1" applyAlignment="1">
      <alignment horizontal="left" vertical="center" wrapText="1"/>
    </xf>
    <xf numFmtId="0" fontId="1" fillId="11" borderId="4" xfId="0" applyFont="1" applyFill="1" applyBorder="1"/>
    <xf numFmtId="0" fontId="0" fillId="11" borderId="2" xfId="0" applyFont="1" applyFill="1" applyBorder="1" applyAlignment="1"/>
    <xf numFmtId="0" fontId="0" fillId="11" borderId="4" xfId="0" applyFont="1" applyFill="1" applyBorder="1"/>
    <xf numFmtId="0" fontId="1" fillId="11" borderId="2" xfId="0" applyFont="1" applyFill="1" applyBorder="1" applyAlignment="1">
      <alignment wrapText="1"/>
    </xf>
    <xf numFmtId="1" fontId="1" fillId="11" borderId="2" xfId="0" applyNumberFormat="1" applyFont="1" applyFill="1" applyBorder="1" applyAlignment="1">
      <alignment wrapText="1"/>
    </xf>
    <xf numFmtId="0" fontId="0" fillId="11" borderId="16" xfId="0" applyFont="1" applyFill="1" applyBorder="1" applyAlignment="1">
      <alignment horizontal="left" vertical="center"/>
    </xf>
    <xf numFmtId="17" fontId="1" fillId="11" borderId="2" xfId="0" applyNumberFormat="1" applyFont="1" applyFill="1" applyBorder="1" applyAlignment="1">
      <alignment horizontal="left" vertical="center"/>
    </xf>
    <xf numFmtId="0" fontId="0" fillId="14" borderId="2" xfId="0" applyFont="1" applyFill="1" applyBorder="1" applyAlignment="1">
      <alignment horizontal="left" vertical="center"/>
    </xf>
    <xf numFmtId="0" fontId="1" fillId="11" borderId="7" xfId="0" applyFont="1" applyFill="1" applyBorder="1" applyAlignment="1">
      <alignment horizontal="left" vertical="center" wrapText="1"/>
    </xf>
    <xf numFmtId="0" fontId="1" fillId="11" borderId="4" xfId="0" applyFont="1" applyFill="1" applyBorder="1" applyAlignment="1">
      <alignment horizontal="left" vertical="center" wrapText="1"/>
    </xf>
    <xf numFmtId="1" fontId="1" fillId="11" borderId="4" xfId="0" applyNumberFormat="1" applyFont="1" applyFill="1" applyBorder="1" applyAlignment="1">
      <alignment horizontal="left" vertical="center" wrapText="1"/>
    </xf>
    <xf numFmtId="0" fontId="1" fillId="11" borderId="4" xfId="0" applyFont="1" applyFill="1" applyBorder="1" applyAlignment="1">
      <alignment horizontal="left" vertical="center"/>
    </xf>
    <xf numFmtId="1" fontId="0" fillId="11" borderId="4" xfId="0" applyNumberFormat="1" applyFont="1" applyFill="1" applyBorder="1" applyAlignment="1">
      <alignment horizontal="left" vertical="center" wrapText="1"/>
    </xf>
    <xf numFmtId="1" fontId="0" fillId="11" borderId="7" xfId="0" applyNumberFormat="1" applyFont="1" applyFill="1" applyBorder="1" applyAlignment="1">
      <alignment horizontal="left" vertical="center" wrapText="1"/>
    </xf>
    <xf numFmtId="0" fontId="0" fillId="11" borderId="7" xfId="0" applyFont="1" applyFill="1" applyBorder="1" applyAlignment="1">
      <alignment horizontal="left"/>
    </xf>
    <xf numFmtId="1" fontId="9" fillId="15" borderId="5" xfId="0" applyNumberFormat="1" applyFont="1" applyFill="1" applyBorder="1" applyAlignment="1">
      <alignment horizontal="center" vertical="center" wrapText="1"/>
    </xf>
    <xf numFmtId="1" fontId="7" fillId="16" borderId="5" xfId="0" applyNumberFormat="1" applyFont="1" applyFill="1" applyBorder="1" applyAlignment="1">
      <alignment horizontal="center" vertical="center" wrapText="1"/>
    </xf>
    <xf numFmtId="1" fontId="1" fillId="17" borderId="4" xfId="0" applyNumberFormat="1" applyFont="1" applyFill="1" applyBorder="1" applyAlignment="1">
      <alignment horizontal="center" vertical="center" wrapText="1"/>
    </xf>
    <xf numFmtId="1" fontId="7" fillId="16" borderId="2" xfId="0" applyNumberFormat="1" applyFont="1" applyFill="1" applyBorder="1" applyAlignment="1">
      <alignment horizontal="center" vertical="center" wrapText="1"/>
    </xf>
    <xf numFmtId="1" fontId="9" fillId="18" borderId="2" xfId="0" applyNumberFormat="1" applyFont="1" applyFill="1" applyBorder="1" applyAlignment="1">
      <alignment horizontal="center" vertical="center" wrapText="1"/>
    </xf>
    <xf numFmtId="1" fontId="1" fillId="17" borderId="2" xfId="0" applyNumberFormat="1" applyFont="1" applyFill="1" applyBorder="1" applyAlignment="1">
      <alignment horizontal="center" vertical="center" wrapText="1"/>
    </xf>
    <xf numFmtId="1" fontId="7" fillId="19" borderId="2" xfId="0" applyNumberFormat="1" applyFont="1" applyFill="1" applyBorder="1" applyAlignment="1">
      <alignment horizontal="center" vertical="center" wrapText="1"/>
    </xf>
    <xf numFmtId="0" fontId="7" fillId="19" borderId="2" xfId="0" applyFont="1" applyFill="1" applyBorder="1" applyAlignment="1">
      <alignment horizontal="center"/>
    </xf>
    <xf numFmtId="1" fontId="0" fillId="17" borderId="4" xfId="0" applyNumberFormat="1" applyFont="1" applyFill="1" applyBorder="1" applyAlignment="1">
      <alignment horizontal="center" vertical="center" wrapText="1"/>
    </xf>
    <xf numFmtId="1" fontId="0" fillId="17" borderId="2" xfId="0" applyNumberFormat="1" applyFont="1" applyFill="1" applyBorder="1" applyAlignment="1">
      <alignment horizontal="center" vertical="center" wrapText="1"/>
    </xf>
    <xf numFmtId="1" fontId="7" fillId="19" borderId="5" xfId="0" applyNumberFormat="1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1" fontId="9" fillId="18" borderId="5" xfId="0" applyNumberFormat="1" applyFont="1" applyFill="1" applyBorder="1" applyAlignment="1">
      <alignment horizontal="center" vertical="center" wrapText="1"/>
    </xf>
    <xf numFmtId="0" fontId="1" fillId="17" borderId="4" xfId="0" applyFont="1" applyFill="1" applyBorder="1" applyAlignment="1">
      <alignment horizontal="center" vertical="center" wrapText="1"/>
    </xf>
    <xf numFmtId="1" fontId="9" fillId="19" borderId="5" xfId="0" applyNumberFormat="1" applyFont="1" applyFill="1" applyBorder="1" applyAlignment="1">
      <alignment horizontal="center" vertical="center" wrapText="1"/>
    </xf>
    <xf numFmtId="0" fontId="7" fillId="19" borderId="5" xfId="0" applyFont="1" applyFill="1" applyBorder="1" applyAlignment="1">
      <alignment horizontal="center"/>
    </xf>
    <xf numFmtId="0" fontId="7" fillId="18" borderId="5" xfId="0" applyFont="1" applyFill="1" applyBorder="1" applyAlignment="1">
      <alignment horizontal="center"/>
    </xf>
    <xf numFmtId="1" fontId="9" fillId="16" borderId="2" xfId="0" applyNumberFormat="1" applyFont="1" applyFill="1" applyBorder="1" applyAlignment="1">
      <alignment horizontal="center" vertical="center" wrapText="1"/>
    </xf>
    <xf numFmtId="1" fontId="1" fillId="17" borderId="2" xfId="0" applyNumberFormat="1" applyFont="1" applyFill="1" applyBorder="1" applyAlignment="1">
      <alignment horizontal="center"/>
    </xf>
    <xf numFmtId="1" fontId="7" fillId="19" borderId="4" xfId="0" applyNumberFormat="1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0" fillId="17" borderId="4" xfId="0" applyFont="1" applyFill="1" applyBorder="1" applyAlignment="1">
      <alignment horizontal="center"/>
    </xf>
    <xf numFmtId="1" fontId="1" fillId="17" borderId="4" xfId="0" applyNumberFormat="1" applyFont="1" applyFill="1" applyBorder="1" applyAlignment="1">
      <alignment horizontal="center"/>
    </xf>
    <xf numFmtId="1" fontId="9" fillId="19" borderId="2" xfId="0" applyNumberFormat="1" applyFont="1" applyFill="1" applyBorder="1" applyAlignment="1">
      <alignment horizontal="center" vertical="center" wrapText="1"/>
    </xf>
    <xf numFmtId="1" fontId="7" fillId="16" borderId="2" xfId="0" applyNumberFormat="1" applyFont="1" applyFill="1" applyBorder="1" applyAlignment="1">
      <alignment horizontal="center" wrapText="1"/>
    </xf>
    <xf numFmtId="1" fontId="1" fillId="17" borderId="8" xfId="0" applyNumberFormat="1" applyFont="1" applyFill="1" applyBorder="1" applyAlignment="1">
      <alignment horizontal="center" vertical="center" wrapText="1"/>
    </xf>
    <xf numFmtId="1" fontId="1" fillId="17" borderId="7" xfId="0" applyNumberFormat="1" applyFont="1" applyFill="1" applyBorder="1" applyAlignment="1">
      <alignment horizontal="center" vertical="center" wrapText="1"/>
    </xf>
    <xf numFmtId="1" fontId="7" fillId="19" borderId="17" xfId="0" applyNumberFormat="1" applyFont="1" applyFill="1" applyBorder="1" applyAlignment="1">
      <alignment horizontal="center" vertical="center" wrapText="1"/>
    </xf>
    <xf numFmtId="0" fontId="0" fillId="11" borderId="4" xfId="0" applyFont="1" applyFill="1" applyBorder="1" applyAlignment="1">
      <alignment horizontal="left" vertical="center" wrapText="1"/>
    </xf>
    <xf numFmtId="165" fontId="1" fillId="11" borderId="4" xfId="0" applyNumberFormat="1" applyFont="1" applyFill="1" applyBorder="1" applyAlignment="1">
      <alignment horizontal="center" vertical="top" wrapText="1"/>
    </xf>
    <xf numFmtId="165" fontId="1" fillId="10" borderId="5" xfId="0" applyNumberFormat="1" applyFont="1" applyFill="1" applyBorder="1" applyAlignment="1">
      <alignment horizontal="center" vertical="top" wrapText="1"/>
    </xf>
    <xf numFmtId="165" fontId="7" fillId="11" borderId="4" xfId="0" applyNumberFormat="1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left" vertical="center"/>
    </xf>
    <xf numFmtId="165" fontId="0" fillId="11" borderId="4" xfId="0" applyNumberFormat="1" applyFont="1" applyFill="1" applyBorder="1" applyAlignment="1">
      <alignment horizontal="center" vertical="top" wrapText="1"/>
    </xf>
    <xf numFmtId="165" fontId="0" fillId="10" borderId="4" xfId="0" applyNumberFormat="1" applyFont="1" applyFill="1" applyBorder="1" applyAlignment="1">
      <alignment horizontal="center" vertical="top" wrapText="1"/>
    </xf>
    <xf numFmtId="0" fontId="1" fillId="10" borderId="2" xfId="0" applyFont="1" applyFill="1" applyBorder="1" applyAlignment="1">
      <alignment horizontal="left" vertical="center"/>
    </xf>
    <xf numFmtId="165" fontId="0" fillId="10" borderId="5" xfId="0" applyNumberFormat="1" applyFont="1" applyFill="1" applyBorder="1" applyAlignment="1">
      <alignment horizontal="center" vertical="top" wrapText="1"/>
    </xf>
    <xf numFmtId="167" fontId="1" fillId="11" borderId="2" xfId="0" applyNumberFormat="1" applyFont="1" applyFill="1" applyBorder="1" applyAlignment="1">
      <alignment horizontal="center" vertical="center" wrapText="1"/>
    </xf>
    <xf numFmtId="165" fontId="1" fillId="11" borderId="2" xfId="0" applyNumberFormat="1" applyFont="1" applyFill="1" applyBorder="1" applyAlignment="1">
      <alignment horizontal="center" vertical="top" wrapText="1"/>
    </xf>
    <xf numFmtId="165" fontId="1" fillId="11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 horizontal="left"/>
    </xf>
    <xf numFmtId="165" fontId="1" fillId="11" borderId="4" xfId="0" applyNumberFormat="1" applyFont="1" applyFill="1" applyBorder="1" applyAlignment="1">
      <alignment horizontal="center"/>
    </xf>
    <xf numFmtId="167" fontId="1" fillId="11" borderId="4" xfId="0" applyNumberFormat="1" applyFont="1" applyFill="1" applyBorder="1" applyAlignment="1">
      <alignment horizontal="center" vertical="center" wrapText="1"/>
    </xf>
    <xf numFmtId="165" fontId="1" fillId="10" borderId="4" xfId="0" applyNumberFormat="1" applyFont="1" applyFill="1" applyBorder="1" applyAlignment="1">
      <alignment horizontal="center" vertical="top" wrapText="1"/>
    </xf>
    <xf numFmtId="165" fontId="1" fillId="11" borderId="4" xfId="0" applyNumberFormat="1" applyFont="1" applyFill="1" applyBorder="1" applyAlignment="1">
      <alignment horizontal="center" vertical="center" wrapText="1"/>
    </xf>
    <xf numFmtId="0" fontId="0" fillId="10" borderId="2" xfId="0" applyFont="1" applyFill="1" applyBorder="1"/>
    <xf numFmtId="0" fontId="0" fillId="10" borderId="4" xfId="0" applyFont="1" applyFill="1" applyBorder="1" applyAlignment="1"/>
    <xf numFmtId="0" fontId="0" fillId="10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horizontal="left" vertical="center" wrapText="1"/>
    </xf>
    <xf numFmtId="0" fontId="3" fillId="11" borderId="2" xfId="0" applyFont="1" applyFill="1" applyBorder="1"/>
    <xf numFmtId="0" fontId="0" fillId="10" borderId="4" xfId="0" applyFont="1" applyFill="1" applyBorder="1" applyAlignment="1">
      <alignment horizontal="left" vertical="top" wrapText="1"/>
    </xf>
    <xf numFmtId="0" fontId="0" fillId="11" borderId="4" xfId="0" applyFont="1" applyFill="1" applyBorder="1" applyAlignment="1"/>
    <xf numFmtId="165" fontId="0" fillId="10" borderId="2" xfId="0" applyNumberFormat="1" applyFont="1" applyFill="1" applyBorder="1" applyAlignment="1">
      <alignment horizontal="center" vertical="center" wrapText="1"/>
    </xf>
    <xf numFmtId="165" fontId="1" fillId="10" borderId="2" xfId="0" applyNumberFormat="1" applyFont="1" applyFill="1" applyBorder="1" applyAlignment="1">
      <alignment horizontal="center" vertical="top" wrapText="1"/>
    </xf>
    <xf numFmtId="165" fontId="1" fillId="10" borderId="4" xfId="0" applyNumberFormat="1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left"/>
    </xf>
    <xf numFmtId="165" fontId="0" fillId="10" borderId="2" xfId="0" applyNumberFormat="1" applyFont="1" applyFill="1" applyBorder="1" applyAlignment="1">
      <alignment horizontal="center" vertical="top" wrapText="1"/>
    </xf>
    <xf numFmtId="165" fontId="0" fillId="11" borderId="2" xfId="0" applyNumberFormat="1" applyFont="1" applyFill="1" applyBorder="1" applyAlignment="1">
      <alignment horizontal="center" vertical="top" wrapText="1"/>
    </xf>
    <xf numFmtId="165" fontId="0" fillId="11" borderId="5" xfId="0" applyNumberFormat="1" applyFont="1" applyFill="1" applyBorder="1" applyAlignment="1">
      <alignment horizontal="center" vertical="top" wrapText="1"/>
    </xf>
    <xf numFmtId="165" fontId="0" fillId="11" borderId="4" xfId="0" applyNumberFormat="1" applyFont="1" applyFill="1" applyBorder="1" applyAlignment="1">
      <alignment horizontal="center"/>
    </xf>
    <xf numFmtId="165" fontId="1" fillId="11" borderId="4" xfId="0" applyNumberFormat="1" applyFont="1" applyFill="1" applyBorder="1" applyAlignment="1">
      <alignment vertical="center"/>
    </xf>
    <xf numFmtId="0" fontId="0" fillId="10" borderId="2" xfId="0" applyFont="1" applyFill="1" applyBorder="1" applyAlignment="1"/>
    <xf numFmtId="0" fontId="0" fillId="11" borderId="4" xfId="0" applyFont="1" applyFill="1" applyBorder="1" applyAlignment="1">
      <alignment horizontal="left" vertical="top" wrapText="1"/>
    </xf>
    <xf numFmtId="0" fontId="1" fillId="10" borderId="2" xfId="0" applyFont="1" applyFill="1" applyBorder="1"/>
    <xf numFmtId="0" fontId="1" fillId="11" borderId="2" xfId="0" applyFont="1" applyFill="1" applyBorder="1" applyAlignment="1">
      <alignment vertical="center"/>
    </xf>
    <xf numFmtId="165" fontId="1" fillId="11" borderId="4" xfId="0" applyNumberFormat="1" applyFont="1" applyFill="1" applyBorder="1" applyAlignment="1">
      <alignment vertical="top"/>
    </xf>
    <xf numFmtId="0" fontId="1" fillId="11" borderId="4" xfId="0" applyFont="1" applyFill="1" applyBorder="1" applyAlignment="1">
      <alignment vertical="center"/>
    </xf>
    <xf numFmtId="165" fontId="1" fillId="11" borderId="8" xfId="0" applyNumberFormat="1" applyFont="1" applyFill="1" applyBorder="1" applyAlignment="1">
      <alignment horizontal="center" vertical="top" wrapText="1"/>
    </xf>
    <xf numFmtId="0" fontId="0" fillId="11" borderId="7" xfId="0" applyFont="1" applyFill="1" applyBorder="1" applyAlignment="1">
      <alignment horizontal="left" vertical="center" wrapText="1"/>
    </xf>
    <xf numFmtId="165" fontId="1" fillId="11" borderId="7" xfId="0" applyNumberFormat="1" applyFont="1" applyFill="1" applyBorder="1" applyAlignment="1">
      <alignment horizontal="center" vertical="top" wrapText="1"/>
    </xf>
    <xf numFmtId="165" fontId="7" fillId="11" borderId="7" xfId="0" applyNumberFormat="1" applyFont="1" applyFill="1" applyBorder="1" applyAlignment="1">
      <alignment horizontal="center" vertical="center" wrapText="1"/>
    </xf>
    <xf numFmtId="165" fontId="0" fillId="11" borderId="4" xfId="0" applyNumberFormat="1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/>
    </xf>
    <xf numFmtId="165" fontId="1" fillId="11" borderId="4" xfId="0" applyNumberFormat="1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/>
    </xf>
    <xf numFmtId="0" fontId="1" fillId="11" borderId="8" xfId="0" applyFont="1" applyFill="1" applyBorder="1"/>
    <xf numFmtId="165" fontId="1" fillId="11" borderId="8" xfId="0" applyNumberFormat="1" applyFont="1" applyFill="1" applyBorder="1" applyAlignment="1">
      <alignment horizontal="center" vertical="center"/>
    </xf>
    <xf numFmtId="165" fontId="0" fillId="10" borderId="4" xfId="0" applyNumberFormat="1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vertical="center"/>
    </xf>
    <xf numFmtId="165" fontId="7" fillId="11" borderId="4" xfId="0" applyNumberFormat="1" applyFont="1" applyFill="1" applyBorder="1" applyAlignment="1">
      <alignment horizontal="center" vertical="center"/>
    </xf>
    <xf numFmtId="166" fontId="7" fillId="11" borderId="4" xfId="0" applyNumberFormat="1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165" fontId="0" fillId="11" borderId="2" xfId="0" applyNumberFormat="1" applyFont="1" applyFill="1" applyBorder="1" applyAlignment="1">
      <alignment horizontal="center" vertical="center"/>
    </xf>
    <xf numFmtId="165" fontId="1" fillId="11" borderId="7" xfId="0" applyNumberFormat="1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center" vertical="center"/>
    </xf>
    <xf numFmtId="165" fontId="7" fillId="16" borderId="2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/>
    <xf numFmtId="0" fontId="1" fillId="0" borderId="18" xfId="0" applyFont="1" applyBorder="1" applyAlignment="1">
      <alignment vertical="center" wrapText="1"/>
    </xf>
    <xf numFmtId="0" fontId="0" fillId="9" borderId="17" xfId="0" applyFont="1" applyFill="1" applyBorder="1" applyAlignment="1">
      <alignment vertical="center" wrapText="1"/>
    </xf>
    <xf numFmtId="0" fontId="1" fillId="0" borderId="17" xfId="0" applyFont="1" applyBorder="1"/>
    <xf numFmtId="0" fontId="1" fillId="0" borderId="20" xfId="0" applyFont="1" applyBorder="1" applyAlignment="1">
      <alignment vertical="center" wrapText="1"/>
    </xf>
    <xf numFmtId="0" fontId="0" fillId="0" borderId="20" xfId="0" applyFont="1" applyBorder="1"/>
    <xf numFmtId="0" fontId="0" fillId="0" borderId="20" xfId="0" applyFont="1" applyBorder="1" applyAlignment="1">
      <alignment vertical="center" wrapText="1"/>
    </xf>
    <xf numFmtId="0" fontId="0" fillId="9" borderId="17" xfId="0" applyFont="1" applyFill="1" applyBorder="1" applyAlignment="1">
      <alignment horizontal="left" vertical="center" wrapText="1"/>
    </xf>
    <xf numFmtId="0" fontId="0" fillId="9" borderId="17" xfId="0" applyFont="1" applyFill="1" applyBorder="1"/>
    <xf numFmtId="0" fontId="1" fillId="9" borderId="20" xfId="0" applyFont="1" applyFill="1" applyBorder="1" applyAlignment="1"/>
    <xf numFmtId="0" fontId="7" fillId="5" borderId="22" xfId="0" applyFont="1" applyFill="1" applyBorder="1" applyAlignment="1">
      <alignment horizontal="center" textRotation="90"/>
    </xf>
    <xf numFmtId="49" fontId="1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49" fontId="20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49" fontId="22" fillId="0" borderId="28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49" fontId="1" fillId="11" borderId="28" xfId="0" applyNumberFormat="1" applyFont="1" applyFill="1" applyBorder="1" applyAlignment="1">
      <alignment horizontal="center" vertical="center"/>
    </xf>
    <xf numFmtId="0" fontId="1" fillId="0" borderId="15" xfId="0" applyFont="1" applyBorder="1"/>
    <xf numFmtId="0" fontId="7" fillId="2" borderId="15" xfId="0" applyFont="1" applyFill="1" applyBorder="1" applyAlignment="1">
      <alignment vertical="top" wrapText="1"/>
    </xf>
    <xf numFmtId="0" fontId="21" fillId="5" borderId="2" xfId="0" applyFont="1" applyFill="1" applyBorder="1" applyAlignment="1">
      <alignment horizontal="left" wrapText="1"/>
    </xf>
    <xf numFmtId="1" fontId="1" fillId="11" borderId="4" xfId="0" applyNumberFormat="1" applyFont="1" applyFill="1" applyBorder="1" applyAlignment="1">
      <alignment horizontal="center" vertical="center" wrapText="1"/>
    </xf>
    <xf numFmtId="1" fontId="1" fillId="11" borderId="2" xfId="0" applyNumberFormat="1" applyFont="1" applyFill="1" applyBorder="1" applyAlignment="1">
      <alignment horizontal="center" vertical="center" wrapText="1"/>
    </xf>
    <xf numFmtId="1" fontId="1" fillId="11" borderId="2" xfId="0" applyNumberFormat="1" applyFont="1" applyFill="1" applyBorder="1"/>
    <xf numFmtId="1" fontId="1" fillId="11" borderId="2" xfId="0" applyNumberFormat="1" applyFont="1" applyFill="1" applyBorder="1" applyAlignment="1"/>
    <xf numFmtId="1" fontId="0" fillId="11" borderId="4" xfId="0" applyNumberFormat="1" applyFont="1" applyFill="1" applyBorder="1" applyAlignment="1">
      <alignment horizontal="center" vertical="center" wrapText="1"/>
    </xf>
    <xf numFmtId="1" fontId="0" fillId="11" borderId="2" xfId="0" applyNumberFormat="1" applyFont="1" applyFill="1" applyBorder="1" applyAlignment="1">
      <alignment horizontal="center" vertical="center" wrapText="1"/>
    </xf>
    <xf numFmtId="1" fontId="7" fillId="12" borderId="2" xfId="0" applyNumberFormat="1" applyFont="1" applyFill="1" applyBorder="1" applyAlignment="1">
      <alignment horizontal="center" vertical="center" wrapText="1"/>
    </xf>
    <xf numFmtId="1" fontId="7" fillId="13" borderId="2" xfId="0" applyNumberFormat="1" applyFont="1" applyFill="1" applyBorder="1" applyAlignment="1">
      <alignment horizontal="center" wrapText="1"/>
    </xf>
    <xf numFmtId="1" fontId="1" fillId="11" borderId="7" xfId="0" applyNumberFormat="1" applyFont="1" applyFill="1" applyBorder="1" applyAlignment="1">
      <alignment horizontal="center" vertical="center" wrapText="1"/>
    </xf>
    <xf numFmtId="0" fontId="1" fillId="13" borderId="1" xfId="0" applyFont="1" applyFill="1" applyBorder="1"/>
    <xf numFmtId="0" fontId="1" fillId="13" borderId="21" xfId="0" applyFont="1" applyFill="1" applyBorder="1"/>
    <xf numFmtId="169" fontId="7" fillId="13" borderId="5" xfId="0" applyNumberFormat="1" applyFont="1" applyFill="1" applyBorder="1" applyAlignment="1">
      <alignment vertical="center" wrapText="1"/>
    </xf>
    <xf numFmtId="0" fontId="7" fillId="16" borderId="2" xfId="0" applyFont="1" applyFill="1" applyBorder="1" applyAlignment="1">
      <alignment horizontal="left" textRotation="90" wrapText="1"/>
    </xf>
    <xf numFmtId="0" fontId="21" fillId="16" borderId="2" xfId="0" applyFont="1" applyFill="1" applyBorder="1" applyAlignment="1">
      <alignment horizontal="left" textRotation="90" wrapText="1"/>
    </xf>
    <xf numFmtId="9" fontId="1" fillId="16" borderId="2" xfId="0" applyNumberFormat="1" applyFont="1" applyFill="1" applyBorder="1" applyAlignment="1">
      <alignment horizontal="center" vertical="center" wrapText="1"/>
    </xf>
    <xf numFmtId="9" fontId="1" fillId="16" borderId="5" xfId="0" applyNumberFormat="1" applyFont="1" applyFill="1" applyBorder="1" applyAlignment="1">
      <alignment horizontal="center" vertical="center" wrapText="1"/>
    </xf>
    <xf numFmtId="9" fontId="0" fillId="16" borderId="2" xfId="0" applyNumberFormat="1" applyFont="1" applyFill="1" applyBorder="1" applyAlignment="1">
      <alignment horizontal="center" vertical="center" wrapText="1"/>
    </xf>
    <xf numFmtId="9" fontId="1" fillId="16" borderId="17" xfId="0" applyNumberFormat="1" applyFont="1" applyFill="1" applyBorder="1" applyAlignment="1">
      <alignment horizontal="center" vertical="center" wrapText="1"/>
    </xf>
    <xf numFmtId="9" fontId="7" fillId="21" borderId="5" xfId="0" applyNumberFormat="1" applyFont="1" applyFill="1" applyBorder="1" applyAlignment="1">
      <alignment vertical="center" wrapText="1"/>
    </xf>
    <xf numFmtId="164" fontId="23" fillId="20" borderId="2" xfId="0" applyNumberFormat="1" applyFont="1" applyFill="1" applyBorder="1" applyAlignment="1">
      <alignment horizontal="center" textRotation="90"/>
    </xf>
    <xf numFmtId="0" fontId="0" fillId="9" borderId="20" xfId="0" applyFont="1" applyFill="1" applyBorder="1"/>
    <xf numFmtId="0" fontId="1" fillId="10" borderId="7" xfId="0" applyFont="1" applyFill="1" applyBorder="1" applyAlignment="1"/>
    <xf numFmtId="0" fontId="1" fillId="11" borderId="5" xfId="0" applyFont="1" applyFill="1" applyBorder="1" applyAlignment="1">
      <alignment horizontal="left"/>
    </xf>
    <xf numFmtId="0" fontId="7" fillId="19" borderId="2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left" vertical="center" wrapText="1"/>
    </xf>
    <xf numFmtId="165" fontId="1" fillId="11" borderId="5" xfId="0" applyNumberFormat="1" applyFont="1" applyFill="1" applyBorder="1" applyAlignment="1">
      <alignment horizontal="center" vertical="top" wrapText="1"/>
    </xf>
    <xf numFmtId="165" fontId="0" fillId="10" borderId="4" xfId="0" applyNumberFormat="1" applyFont="1" applyFill="1" applyBorder="1" applyAlignment="1">
      <alignment horizontal="center" vertical="center" wrapText="1"/>
    </xf>
    <xf numFmtId="165" fontId="0" fillId="10" borderId="2" xfId="0" applyNumberFormat="1" applyFont="1" applyFill="1" applyBorder="1" applyAlignment="1">
      <alignment horizontal="center" vertical="center"/>
    </xf>
    <xf numFmtId="0" fontId="20" fillId="0" borderId="0" xfId="0" applyFont="1"/>
    <xf numFmtId="9" fontId="1" fillId="0" borderId="0" xfId="0" applyNumberFormat="1" applyFont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11" borderId="10" xfId="0" applyNumberFormat="1" applyFont="1" applyFill="1" applyBorder="1" applyAlignment="1">
      <alignment horizontal="center" vertical="center"/>
    </xf>
    <xf numFmtId="0" fontId="7" fillId="5" borderId="22" xfId="0" applyFont="1" applyFill="1" applyBorder="1"/>
    <xf numFmtId="0" fontId="0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" fillId="0" borderId="28" xfId="0" applyFont="1" applyBorder="1" applyAlignment="1">
      <alignment horizontal="left" vertical="top"/>
    </xf>
    <xf numFmtId="3" fontId="1" fillId="0" borderId="28" xfId="0" applyNumberFormat="1" applyFont="1" applyBorder="1" applyAlignment="1">
      <alignment horizontal="center" vertical="center"/>
    </xf>
    <xf numFmtId="3" fontId="11" fillId="3" borderId="28" xfId="0" applyNumberFormat="1" applyFont="1" applyFill="1" applyBorder="1"/>
    <xf numFmtId="0" fontId="1" fillId="0" borderId="28" xfId="0" applyFont="1" applyBorder="1" applyAlignment="1">
      <alignment vertical="top"/>
    </xf>
    <xf numFmtId="3" fontId="1" fillId="11" borderId="28" xfId="0" applyNumberFormat="1" applyFont="1" applyFill="1" applyBorder="1" applyAlignment="1">
      <alignment horizontal="left" vertical="center"/>
    </xf>
    <xf numFmtId="0" fontId="11" fillId="3" borderId="28" xfId="0" applyFont="1" applyFill="1" applyBorder="1"/>
    <xf numFmtId="0" fontId="0" fillId="0" borderId="28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center" vertical="top" wrapText="1"/>
    </xf>
    <xf numFmtId="0" fontId="1" fillId="0" borderId="28" xfId="0" applyFont="1" applyBorder="1"/>
    <xf numFmtId="0" fontId="7" fillId="2" borderId="14" xfId="0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/>
    </xf>
    <xf numFmtId="0" fontId="7" fillId="14" borderId="11" xfId="0" applyFont="1" applyFill="1" applyBorder="1" applyAlignment="1">
      <alignment vertical="top" wrapText="1"/>
    </xf>
    <xf numFmtId="0" fontId="7" fillId="14" borderId="15" xfId="0" applyFont="1" applyFill="1" applyBorder="1" applyAlignment="1">
      <alignment vertical="top" wrapText="1"/>
    </xf>
    <xf numFmtId="1" fontId="7" fillId="14" borderId="5" xfId="0" applyNumberFormat="1" applyFont="1" applyFill="1" applyBorder="1" applyAlignment="1">
      <alignment horizontal="center" vertical="center" wrapText="1"/>
    </xf>
    <xf numFmtId="1" fontId="7" fillId="14" borderId="5" xfId="0" applyNumberFormat="1" applyFont="1" applyFill="1" applyBorder="1" applyAlignment="1">
      <alignment vertical="center" wrapText="1"/>
    </xf>
    <xf numFmtId="169" fontId="1" fillId="14" borderId="5" xfId="0" applyNumberFormat="1" applyFont="1" applyFill="1" applyBorder="1" applyAlignment="1">
      <alignment horizontal="center" vertical="center" wrapText="1"/>
    </xf>
    <xf numFmtId="169" fontId="7" fillId="14" borderId="5" xfId="0" applyNumberFormat="1" applyFont="1" applyFill="1" applyBorder="1" applyAlignment="1">
      <alignment vertical="center" wrapText="1"/>
    </xf>
    <xf numFmtId="0" fontId="1" fillId="14" borderId="5" xfId="0" applyFont="1" applyFill="1" applyBorder="1" applyAlignment="1">
      <alignment horizontal="left" vertical="center" wrapText="1"/>
    </xf>
    <xf numFmtId="0" fontId="1" fillId="14" borderId="5" xfId="0" applyFont="1" applyFill="1" applyBorder="1" applyAlignment="1">
      <alignment horizontal="center" vertical="top" wrapText="1"/>
    </xf>
    <xf numFmtId="165" fontId="7" fillId="14" borderId="5" xfId="0" applyNumberFormat="1" applyFont="1" applyFill="1" applyBorder="1" applyAlignment="1">
      <alignment horizontal="center" vertical="top" wrapText="1"/>
    </xf>
    <xf numFmtId="170" fontId="7" fillId="14" borderId="14" xfId="0" applyNumberFormat="1" applyFont="1" applyFill="1" applyBorder="1" applyAlignment="1">
      <alignment horizontal="center"/>
    </xf>
    <xf numFmtId="170" fontId="7" fillId="14" borderId="20" xfId="0" applyNumberFormat="1" applyFont="1" applyFill="1" applyBorder="1" applyAlignment="1">
      <alignment horizontal="center"/>
    </xf>
    <xf numFmtId="0" fontId="7" fillId="14" borderId="28" xfId="0" applyFont="1" applyFill="1" applyBorder="1" applyAlignment="1">
      <alignment horizontal="center"/>
    </xf>
    <xf numFmtId="0" fontId="7" fillId="14" borderId="17" xfId="0" applyFont="1" applyFill="1" applyBorder="1" applyAlignment="1">
      <alignment horizontal="center"/>
    </xf>
    <xf numFmtId="0" fontId="7" fillId="14" borderId="14" xfId="0" applyFont="1" applyFill="1" applyBorder="1"/>
    <xf numFmtId="0" fontId="0" fillId="0" borderId="18" xfId="0" applyFont="1" applyBorder="1" applyAlignment="1">
      <alignment horizontal="left" vertical="center" wrapText="1"/>
    </xf>
    <xf numFmtId="0" fontId="20" fillId="9" borderId="18" xfId="0" applyFont="1" applyFill="1" applyBorder="1" applyAlignment="1"/>
    <xf numFmtId="0" fontId="1" fillId="9" borderId="17" xfId="0" applyFont="1" applyFill="1" applyBorder="1"/>
    <xf numFmtId="0" fontId="1" fillId="0" borderId="17" xfId="0" applyFont="1" applyBorder="1" applyAlignment="1">
      <alignment wrapText="1"/>
    </xf>
    <xf numFmtId="0" fontId="1" fillId="9" borderId="18" xfId="0" applyFont="1" applyFill="1" applyBorder="1" applyAlignment="1"/>
    <xf numFmtId="0" fontId="1" fillId="9" borderId="20" xfId="0" applyFont="1" applyFill="1" applyBorder="1" applyAlignment="1">
      <alignment vertical="center" wrapText="1"/>
    </xf>
    <xf numFmtId="0" fontId="1" fillId="11" borderId="2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/>
    </xf>
    <xf numFmtId="1" fontId="0" fillId="0" borderId="4" xfId="0" applyNumberFormat="1" applyFont="1" applyBorder="1" applyAlignment="1">
      <alignment horizontal="left" vertical="center" wrapText="1"/>
    </xf>
    <xf numFmtId="1" fontId="1" fillId="11" borderId="7" xfId="0" applyNumberFormat="1" applyFont="1" applyFill="1" applyBorder="1" applyAlignment="1">
      <alignment horizontal="left" vertical="center" wrapText="1"/>
    </xf>
    <xf numFmtId="1" fontId="1" fillId="11" borderId="5" xfId="0" applyNumberFormat="1" applyFont="1" applyFill="1" applyBorder="1" applyAlignment="1">
      <alignment horizontal="left" vertical="center" wrapText="1"/>
    </xf>
    <xf numFmtId="0" fontId="0" fillId="11" borderId="7" xfId="0" applyFont="1" applyFill="1" applyBorder="1" applyAlignment="1"/>
    <xf numFmtId="0" fontId="0" fillId="11" borderId="16" xfId="0" applyFont="1" applyFill="1" applyBorder="1" applyAlignment="1">
      <alignment horizontal="left"/>
    </xf>
    <xf numFmtId="17" fontId="1" fillId="0" borderId="4" xfId="0" applyNumberFormat="1" applyFont="1" applyBorder="1" applyAlignment="1">
      <alignment horizontal="left" vertical="center"/>
    </xf>
    <xf numFmtId="0" fontId="20" fillId="11" borderId="5" xfId="0" applyFont="1" applyFill="1" applyBorder="1" applyAlignment="1">
      <alignment horizontal="left"/>
    </xf>
    <xf numFmtId="0" fontId="1" fillId="11" borderId="7" xfId="0" applyFont="1" applyFill="1" applyBorder="1" applyAlignment="1">
      <alignment horizontal="left"/>
    </xf>
    <xf numFmtId="0" fontId="7" fillId="19" borderId="5" xfId="0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/>
    </xf>
    <xf numFmtId="1" fontId="0" fillId="17" borderId="2" xfId="0" applyNumberFormat="1" applyFont="1" applyFill="1" applyBorder="1" applyAlignment="1">
      <alignment horizontal="center"/>
    </xf>
    <xf numFmtId="1" fontId="7" fillId="16" borderId="4" xfId="0" applyNumberFormat="1" applyFont="1" applyFill="1" applyBorder="1" applyAlignment="1">
      <alignment horizontal="center" vertical="center" wrapText="1"/>
    </xf>
    <xf numFmtId="0" fontId="0" fillId="17" borderId="12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 vertical="center" wrapText="1"/>
    </xf>
    <xf numFmtId="1" fontId="7" fillId="13" borderId="4" xfId="0" applyNumberFormat="1" applyFont="1" applyFill="1" applyBorder="1" applyAlignment="1">
      <alignment horizontal="center" vertical="center" wrapText="1"/>
    </xf>
    <xf numFmtId="1" fontId="0" fillId="11" borderId="2" xfId="0" applyNumberFormat="1" applyFont="1" applyFill="1" applyBorder="1" applyAlignment="1"/>
    <xf numFmtId="1" fontId="0" fillId="11" borderId="2" xfId="0" applyNumberFormat="1" applyFont="1" applyFill="1" applyBorder="1"/>
    <xf numFmtId="1" fontId="1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10" borderId="7" xfId="0" applyFont="1" applyFill="1" applyBorder="1" applyAlignment="1">
      <alignment horizontal="left" vertical="center" wrapText="1"/>
    </xf>
    <xf numFmtId="0" fontId="0" fillId="10" borderId="4" xfId="0" applyFont="1" applyFill="1" applyBorder="1"/>
    <xf numFmtId="0" fontId="1" fillId="10" borderId="5" xfId="0" applyFont="1" applyFill="1" applyBorder="1" applyAlignment="1">
      <alignment horizontal="left" vertical="center" wrapText="1"/>
    </xf>
    <xf numFmtId="0" fontId="0" fillId="10" borderId="7" xfId="0" applyFont="1" applyFill="1" applyBorder="1" applyAlignment="1"/>
    <xf numFmtId="0" fontId="20" fillId="11" borderId="5" xfId="0" applyFont="1" applyFill="1" applyBorder="1" applyAlignment="1">
      <alignment horizontal="left" vertical="center" wrapText="1"/>
    </xf>
    <xf numFmtId="0" fontId="1" fillId="11" borderId="5" xfId="0" applyFont="1" applyFill="1" applyBorder="1" applyAlignment="1">
      <alignment horizontal="left" vertical="center" wrapText="1"/>
    </xf>
    <xf numFmtId="0" fontId="1" fillId="11" borderId="4" xfId="0" applyFont="1" applyFill="1" applyBorder="1" applyAlignment="1">
      <alignment horizontal="left" vertical="top" wrapText="1"/>
    </xf>
    <xf numFmtId="0" fontId="1" fillId="10" borderId="4" xfId="0" applyFont="1" applyFill="1" applyBorder="1" applyAlignment="1">
      <alignment horizontal="left" vertical="center"/>
    </xf>
    <xf numFmtId="0" fontId="1" fillId="11" borderId="0" xfId="0" applyFont="1" applyFill="1" applyBorder="1" applyAlignment="1">
      <alignment horizontal="left" vertical="center" wrapText="1"/>
    </xf>
    <xf numFmtId="0" fontId="0" fillId="11" borderId="2" xfId="0" applyFont="1" applyFill="1" applyBorder="1" applyAlignment="1">
      <alignment horizontal="left" vertical="top" wrapText="1"/>
    </xf>
    <xf numFmtId="165" fontId="0" fillId="11" borderId="7" xfId="0" applyNumberFormat="1" applyFont="1" applyFill="1" applyBorder="1" applyAlignment="1">
      <alignment horizontal="center" vertical="center" wrapText="1"/>
    </xf>
    <xf numFmtId="165" fontId="0" fillId="10" borderId="5" xfId="0" applyNumberFormat="1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 vertical="center" wrapText="1"/>
    </xf>
    <xf numFmtId="167" fontId="1" fillId="11" borderId="7" xfId="0" applyNumberFormat="1" applyFont="1" applyFill="1" applyBorder="1" applyAlignment="1">
      <alignment horizontal="center" vertical="center" wrapText="1"/>
    </xf>
    <xf numFmtId="165" fontId="1" fillId="10" borderId="5" xfId="0" applyNumberFormat="1" applyFont="1" applyFill="1" applyBorder="1" applyAlignment="1">
      <alignment horizontal="center"/>
    </xf>
    <xf numFmtId="165" fontId="1" fillId="10" borderId="4" xfId="0" applyNumberFormat="1" applyFont="1" applyFill="1" applyBorder="1" applyAlignment="1">
      <alignment horizontal="center"/>
    </xf>
    <xf numFmtId="165" fontId="0" fillId="11" borderId="2" xfId="0" applyNumberFormat="1" applyFont="1" applyFill="1" applyBorder="1" applyAlignment="1">
      <alignment horizontal="center" vertical="center" wrapText="1"/>
    </xf>
    <xf numFmtId="165" fontId="0" fillId="11" borderId="5" xfId="0" applyNumberFormat="1" applyFont="1" applyFill="1" applyBorder="1" applyAlignment="1">
      <alignment horizontal="center" vertical="center"/>
    </xf>
    <xf numFmtId="165" fontId="1" fillId="10" borderId="7" xfId="0" applyNumberFormat="1" applyFont="1" applyFill="1" applyBorder="1" applyAlignment="1">
      <alignment horizontal="center" vertical="center"/>
    </xf>
    <xf numFmtId="0" fontId="12" fillId="11" borderId="2" xfId="0" applyFont="1" applyFill="1" applyBorder="1"/>
    <xf numFmtId="0" fontId="1" fillId="0" borderId="2" xfId="0" applyFont="1" applyBorder="1" applyAlignment="1">
      <alignment horizontal="center" wrapText="1"/>
    </xf>
    <xf numFmtId="0" fontId="21" fillId="0" borderId="0" xfId="0" applyFont="1"/>
    <xf numFmtId="0" fontId="22" fillId="0" borderId="0" xfId="0" applyFont="1"/>
    <xf numFmtId="0" fontId="1" fillId="0" borderId="30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0" fillId="0" borderId="12" xfId="0" applyFont="1" applyBorder="1" applyAlignment="1">
      <alignment horizontal="left"/>
    </xf>
    <xf numFmtId="0" fontId="0" fillId="11" borderId="16" xfId="0" applyFont="1" applyFill="1" applyBorder="1" applyAlignment="1"/>
    <xf numFmtId="0" fontId="1" fillId="11" borderId="7" xfId="0" applyFont="1" applyFill="1" applyBorder="1" applyAlignment="1">
      <alignment horizontal="left" vertical="center"/>
    </xf>
    <xf numFmtId="0" fontId="1" fillId="17" borderId="12" xfId="0" applyFont="1" applyFill="1" applyBorder="1" applyAlignment="1">
      <alignment horizontal="center"/>
    </xf>
    <xf numFmtId="0" fontId="1" fillId="10" borderId="4" xfId="0" applyFont="1" applyFill="1" applyBorder="1" applyAlignment="1"/>
    <xf numFmtId="0" fontId="0" fillId="10" borderId="4" xfId="0" applyFont="1" applyFill="1" applyBorder="1" applyAlignment="1">
      <alignment horizontal="left" vertical="center"/>
    </xf>
    <xf numFmtId="165" fontId="1" fillId="11" borderId="4" xfId="0" applyNumberFormat="1" applyFont="1" applyFill="1" applyBorder="1"/>
    <xf numFmtId="165" fontId="0" fillId="11" borderId="8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11" borderId="17" xfId="0" applyFont="1" applyFill="1" applyBorder="1" applyAlignment="1">
      <alignment horizontal="left" vertical="center" wrapText="1"/>
    </xf>
    <xf numFmtId="1" fontId="7" fillId="14" borderId="14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7" fillId="14" borderId="28" xfId="0" applyFont="1" applyFill="1" applyBorder="1" applyAlignment="1">
      <alignment vertical="top" wrapText="1"/>
    </xf>
    <xf numFmtId="0" fontId="20" fillId="0" borderId="28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1" fontId="1" fillId="17" borderId="5" xfId="0" applyNumberFormat="1" applyFont="1" applyFill="1" applyBorder="1" applyAlignment="1">
      <alignment horizontal="center" vertical="center" wrapText="1"/>
    </xf>
    <xf numFmtId="1" fontId="1" fillId="11" borderId="5" xfId="0" applyNumberFormat="1" applyFont="1" applyFill="1" applyBorder="1" applyAlignment="1">
      <alignment horizontal="center" vertical="center" wrapText="1"/>
    </xf>
    <xf numFmtId="0" fontId="0" fillId="11" borderId="5" xfId="0" applyFont="1" applyFill="1" applyBorder="1" applyAlignment="1">
      <alignment horizontal="left" vertical="center" wrapText="1"/>
    </xf>
    <xf numFmtId="165" fontId="7" fillId="11" borderId="5" xfId="0" applyNumberFormat="1" applyFont="1" applyFill="1" applyBorder="1" applyAlignment="1">
      <alignment horizontal="center" vertical="center" wrapText="1"/>
    </xf>
    <xf numFmtId="165" fontId="1" fillId="11" borderId="5" xfId="0" applyNumberFormat="1" applyFont="1" applyFill="1" applyBorder="1" applyAlignment="1">
      <alignment horizontal="center" vertical="center"/>
    </xf>
    <xf numFmtId="165" fontId="1" fillId="11" borderId="14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68" fontId="1" fillId="11" borderId="2" xfId="0" applyNumberFormat="1" applyFont="1" applyFill="1" applyBorder="1" applyAlignment="1">
      <alignment horizontal="center" vertical="center"/>
    </xf>
    <xf numFmtId="165" fontId="1" fillId="11" borderId="4" xfId="0" applyNumberFormat="1" applyFont="1" applyFill="1" applyBorder="1" applyAlignment="1">
      <alignment horizontal="center" vertical="top"/>
    </xf>
    <xf numFmtId="0" fontId="3" fillId="11" borderId="4" xfId="0" applyFont="1" applyFill="1" applyBorder="1" applyAlignment="1">
      <alignment horizontal="center"/>
    </xf>
    <xf numFmtId="165" fontId="1" fillId="11" borderId="17" xfId="0" applyNumberFormat="1" applyFont="1" applyFill="1" applyBorder="1" applyAlignment="1">
      <alignment horizontal="center" vertical="top" wrapText="1"/>
    </xf>
    <xf numFmtId="165" fontId="0" fillId="11" borderId="14" xfId="0" applyNumberFormat="1" applyFont="1" applyFill="1" applyBorder="1" applyAlignment="1">
      <alignment horizontal="center" vertical="top" wrapText="1"/>
    </xf>
    <xf numFmtId="165" fontId="0" fillId="11" borderId="17" xfId="0" applyNumberFormat="1" applyFont="1" applyFill="1" applyBorder="1" applyAlignment="1">
      <alignment horizontal="center" vertical="top" wrapText="1"/>
    </xf>
    <xf numFmtId="165" fontId="0" fillId="10" borderId="14" xfId="0" applyNumberFormat="1" applyFont="1" applyFill="1" applyBorder="1" applyAlignment="1">
      <alignment horizontal="center" vertical="top" wrapText="1"/>
    </xf>
    <xf numFmtId="165" fontId="0" fillId="11" borderId="13" xfId="0" applyNumberFormat="1" applyFont="1" applyFill="1" applyBorder="1" applyAlignment="1">
      <alignment horizontal="center" vertical="top" wrapText="1"/>
    </xf>
    <xf numFmtId="165" fontId="1" fillId="11" borderId="28" xfId="0" applyNumberFormat="1" applyFont="1" applyFill="1" applyBorder="1" applyAlignment="1">
      <alignment horizontal="center" vertical="top" wrapText="1"/>
    </xf>
    <xf numFmtId="165" fontId="0" fillId="11" borderId="28" xfId="0" applyNumberFormat="1" applyFont="1" applyFill="1" applyBorder="1" applyAlignment="1">
      <alignment horizontal="center" vertical="top" wrapText="1"/>
    </xf>
    <xf numFmtId="165" fontId="0" fillId="10" borderId="28" xfId="0" applyNumberFormat="1" applyFont="1" applyFill="1" applyBorder="1" applyAlignment="1">
      <alignment horizontal="center" vertical="top" wrapText="1"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/>
    <xf numFmtId="49" fontId="1" fillId="0" borderId="28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0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/>
    <xf numFmtId="1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165" fontId="0" fillId="0" borderId="4" xfId="0" applyNumberFormat="1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top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wrapText="1"/>
    </xf>
    <xf numFmtId="0" fontId="1" fillId="0" borderId="0" xfId="0" applyFont="1" applyFill="1"/>
    <xf numFmtId="0" fontId="0" fillId="0" borderId="0" xfId="0" applyFont="1" applyFill="1" applyAlignment="1"/>
    <xf numFmtId="0" fontId="1" fillId="0" borderId="3" xfId="0" applyFont="1" applyFill="1" applyBorder="1" applyAlignment="1"/>
    <xf numFmtId="0" fontId="20" fillId="0" borderId="28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/>
    <xf numFmtId="0" fontId="1" fillId="0" borderId="4" xfId="0" applyFont="1" applyFill="1" applyBorder="1" applyAlignment="1">
      <alignment horizontal="left"/>
    </xf>
    <xf numFmtId="165" fontId="0" fillId="0" borderId="4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top" wrapText="1"/>
    </xf>
    <xf numFmtId="165" fontId="0" fillId="0" borderId="5" xfId="0" applyNumberFormat="1" applyFont="1" applyFill="1" applyBorder="1" applyAlignment="1">
      <alignment horizontal="center" vertical="top" wrapText="1"/>
    </xf>
    <xf numFmtId="49" fontId="24" fillId="0" borderId="28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left" vertical="center" wrapText="1"/>
    </xf>
    <xf numFmtId="1" fontId="24" fillId="0" borderId="2" xfId="0" applyNumberFormat="1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/>
    </xf>
    <xf numFmtId="1" fontId="23" fillId="0" borderId="2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165" fontId="24" fillId="0" borderId="4" xfId="0" applyNumberFormat="1" applyFont="1" applyFill="1" applyBorder="1" applyAlignment="1">
      <alignment horizontal="center" vertical="top" wrapText="1"/>
    </xf>
    <xf numFmtId="165" fontId="24" fillId="0" borderId="4" xfId="0" applyNumberFormat="1" applyFont="1" applyFill="1" applyBorder="1" applyAlignment="1">
      <alignment horizontal="center" vertical="center"/>
    </xf>
    <xf numFmtId="165" fontId="24" fillId="0" borderId="8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3" fontId="24" fillId="0" borderId="2" xfId="0" applyNumberFormat="1" applyFont="1" applyFill="1" applyBorder="1" applyAlignment="1">
      <alignment horizontal="center"/>
    </xf>
    <xf numFmtId="3" fontId="24" fillId="0" borderId="2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left" vertical="center" wrapText="1"/>
    </xf>
    <xf numFmtId="0" fontId="24" fillId="0" borderId="0" xfId="0" applyFont="1" applyFill="1"/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/>
    <xf numFmtId="0" fontId="0" fillId="0" borderId="4" xfId="0" applyFont="1" applyFill="1" applyBorder="1" applyAlignment="1">
      <alignment horizontal="left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0" fillId="0" borderId="28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/>
    <xf numFmtId="0" fontId="1" fillId="0" borderId="4" xfId="0" applyFont="1" applyFill="1" applyBorder="1"/>
    <xf numFmtId="0" fontId="7" fillId="0" borderId="0" xfId="0" applyFont="1" applyFill="1"/>
    <xf numFmtId="165" fontId="0" fillId="0" borderId="2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 vertical="top" wrapText="1"/>
    </xf>
    <xf numFmtId="0" fontId="1" fillId="0" borderId="31" xfId="0" applyFont="1" applyBorder="1"/>
    <xf numFmtId="0" fontId="1" fillId="11" borderId="17" xfId="0" applyFont="1" applyFill="1" applyBorder="1"/>
    <xf numFmtId="0" fontId="1" fillId="11" borderId="17" xfId="0" applyFont="1" applyFill="1" applyBorder="1" applyAlignment="1">
      <alignment horizontal="left" vertical="center"/>
    </xf>
    <xf numFmtId="0" fontId="1" fillId="11" borderId="14" xfId="0" applyFont="1" applyFill="1" applyBorder="1" applyAlignment="1">
      <alignment horizontal="left" vertical="center" wrapText="1"/>
    </xf>
    <xf numFmtId="0" fontId="1" fillId="11" borderId="14" xfId="0" applyFont="1" applyFill="1" applyBorder="1" applyAlignment="1">
      <alignment horizontal="left" vertical="center"/>
    </xf>
    <xf numFmtId="0" fontId="1" fillId="11" borderId="22" xfId="0" applyFont="1" applyFill="1" applyBorder="1" applyAlignment="1">
      <alignment wrapText="1"/>
    </xf>
    <xf numFmtId="0" fontId="1" fillId="0" borderId="33" xfId="0" applyFont="1" applyBorder="1" applyAlignment="1">
      <alignment vertical="center" wrapText="1"/>
    </xf>
    <xf numFmtId="0" fontId="1" fillId="11" borderId="34" xfId="0" applyFont="1" applyFill="1" applyBorder="1" applyAlignment="1">
      <alignment horizontal="left" vertical="center" wrapText="1"/>
    </xf>
    <xf numFmtId="0" fontId="1" fillId="11" borderId="13" xfId="0" applyFont="1" applyFill="1" applyBorder="1" applyAlignment="1">
      <alignment horizontal="left" vertical="center" wrapText="1"/>
    </xf>
    <xf numFmtId="0" fontId="1" fillId="11" borderId="28" xfId="0" applyFont="1" applyFill="1" applyBorder="1"/>
    <xf numFmtId="0" fontId="1" fillId="0" borderId="28" xfId="0" applyFont="1" applyBorder="1" applyAlignment="1"/>
    <xf numFmtId="0" fontId="1" fillId="11" borderId="28" xfId="0" applyFont="1" applyFill="1" applyBorder="1" applyAlignment="1">
      <alignment horizontal="left" vertical="center"/>
    </xf>
    <xf numFmtId="0" fontId="1" fillId="11" borderId="28" xfId="0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1" fontId="1" fillId="11" borderId="10" xfId="0" applyNumberFormat="1" applyFont="1" applyFill="1" applyBorder="1" applyAlignment="1">
      <alignment horizontal="left" vertical="center" wrapText="1"/>
    </xf>
    <xf numFmtId="0" fontId="7" fillId="19" borderId="17" xfId="0" applyFont="1" applyFill="1" applyBorder="1" applyAlignment="1">
      <alignment horizontal="center"/>
    </xf>
    <xf numFmtId="1" fontId="7" fillId="19" borderId="14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 vertical="center"/>
    </xf>
    <xf numFmtId="0" fontId="0" fillId="11" borderId="28" xfId="0" applyFont="1" applyFill="1" applyBorder="1"/>
    <xf numFmtId="0" fontId="22" fillId="0" borderId="20" xfId="0" applyFont="1" applyFill="1" applyBorder="1"/>
    <xf numFmtId="165" fontId="7" fillId="0" borderId="0" xfId="0" applyNumberFormat="1" applyFont="1" applyAlignment="1">
      <alignment vertical="top"/>
    </xf>
    <xf numFmtId="165" fontId="1" fillId="0" borderId="0" xfId="0" applyNumberFormat="1" applyFont="1"/>
    <xf numFmtId="165" fontId="7" fillId="0" borderId="0" xfId="0" applyNumberFormat="1" applyFont="1" applyAlignment="1">
      <alignment horizontal="center" vertical="top"/>
    </xf>
    <xf numFmtId="0" fontId="1" fillId="0" borderId="28" xfId="0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5" fontId="1" fillId="10" borderId="14" xfId="0" applyNumberFormat="1" applyFont="1" applyFill="1" applyBorder="1" applyAlignment="1">
      <alignment horizontal="center" vertical="top"/>
    </xf>
    <xf numFmtId="165" fontId="1" fillId="10" borderId="4" xfId="0" applyNumberFormat="1" applyFont="1" applyFill="1" applyBorder="1" applyAlignment="1">
      <alignment horizontal="center" vertical="top"/>
    </xf>
    <xf numFmtId="0" fontId="1" fillId="0" borderId="20" xfId="0" applyFont="1" applyFill="1" applyBorder="1"/>
    <xf numFmtId="0" fontId="0" fillId="0" borderId="17" xfId="0" applyFont="1" applyFill="1" applyBorder="1"/>
    <xf numFmtId="0" fontId="1" fillId="0" borderId="17" xfId="0" applyFont="1" applyFill="1" applyBorder="1" applyAlignment="1"/>
    <xf numFmtId="0" fontId="2" fillId="0" borderId="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/>
    <xf numFmtId="0" fontId="0" fillId="0" borderId="20" xfId="0" applyFont="1" applyFill="1" applyBorder="1"/>
    <xf numFmtId="0" fontId="0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vertical="center" wrapText="1"/>
    </xf>
    <xf numFmtId="0" fontId="1" fillId="0" borderId="17" xfId="0" applyFont="1" applyFill="1" applyBorder="1"/>
    <xf numFmtId="0" fontId="0" fillId="0" borderId="20" xfId="0" applyFont="1" applyFill="1" applyBorder="1" applyAlignment="1">
      <alignment horizontal="left" vertical="center" wrapText="1"/>
    </xf>
    <xf numFmtId="0" fontId="1" fillId="0" borderId="18" xfId="0" applyFont="1" applyFill="1" applyBorder="1"/>
    <xf numFmtId="0" fontId="1" fillId="0" borderId="29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/>
    </xf>
    <xf numFmtId="0" fontId="1" fillId="0" borderId="20" xfId="0" applyFont="1" applyFill="1" applyBorder="1" applyAlignment="1"/>
    <xf numFmtId="0" fontId="22" fillId="0" borderId="17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center" vertical="center" wrapText="1"/>
    </xf>
    <xf numFmtId="0" fontId="6" fillId="0" borderId="28" xfId="0" applyFont="1" applyBorder="1"/>
  </cellXfs>
  <cellStyles count="1">
    <cellStyle name="Normal" xfId="0" builtinId="0"/>
  </cellStyles>
  <dxfs count="4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CI1048573"/>
  <sheetViews>
    <sheetView tabSelected="1" zoomScaleNormal="100" workbookViewId="0">
      <pane xSplit="3" ySplit="5" topLeftCell="D7" activePane="bottomRight" state="frozen"/>
      <selection pane="topRight" activeCell="H1" sqref="H1"/>
      <selection pane="bottomLeft" activeCell="A6" sqref="A6"/>
      <selection pane="bottomRight" activeCell="D7" sqref="D7"/>
    </sheetView>
  </sheetViews>
  <sheetFormatPr defaultColWidth="14.42578125" defaultRowHeight="15" customHeight="1" outlineLevelCol="1"/>
  <cols>
    <col min="1" max="1" width="10.5703125" customWidth="1"/>
    <col min="2" max="2" width="41.5703125" customWidth="1"/>
    <col min="3" max="3" width="22.28515625" customWidth="1"/>
    <col min="4" max="5" width="23" customWidth="1"/>
    <col min="6" max="6" width="9.42578125" customWidth="1"/>
    <col min="7" max="7" width="8.85546875" customWidth="1"/>
    <col min="8" max="9" width="12.7109375" customWidth="1"/>
    <col min="10" max="10" width="8.28515625" customWidth="1"/>
    <col min="11" max="13" width="5.42578125" customWidth="1" outlineLevel="1"/>
    <col min="14" max="14" width="6.28515625" customWidth="1"/>
    <col min="15" max="19" width="5" hidden="1" customWidth="1" outlineLevel="1"/>
    <col min="20" max="20" width="6.42578125" hidden="1" customWidth="1" outlineLevel="1"/>
    <col min="21" max="21" width="8.42578125" customWidth="1" collapsed="1"/>
    <col min="22" max="26" width="5" hidden="1" customWidth="1" outlineLevel="1"/>
    <col min="27" max="27" width="1.28515625" hidden="1" customWidth="1" outlineLevel="1"/>
    <col min="28" max="28" width="5" customWidth="1" collapsed="1"/>
    <col min="29" max="34" width="5" hidden="1" customWidth="1" outlineLevel="1"/>
    <col min="35" max="35" width="7.28515625" style="182" customWidth="1" collapsed="1"/>
    <col min="36" max="36" width="6.7109375" style="182" customWidth="1"/>
    <col min="37" max="37" width="9.140625" customWidth="1"/>
    <col min="38" max="39" width="10.85546875" customWidth="1"/>
    <col min="40" max="40" width="12.28515625" customWidth="1"/>
    <col min="41" max="41" width="12.5703125" customWidth="1"/>
    <col min="42" max="44" width="11" customWidth="1" outlineLevel="1"/>
    <col min="45" max="45" width="10" customWidth="1" outlineLevel="1"/>
    <col min="46" max="46" width="8.85546875" customWidth="1" outlineLevel="1"/>
    <col min="47" max="47" width="9.140625" customWidth="1" outlineLevel="1"/>
    <col min="48" max="49" width="9.28515625" customWidth="1"/>
    <col min="50" max="50" width="9.140625" customWidth="1"/>
    <col min="51" max="51" width="8" customWidth="1"/>
    <col min="52" max="52" width="7.5703125" customWidth="1"/>
    <col min="53" max="54" width="11" customWidth="1"/>
    <col min="55" max="55" width="4.5703125" customWidth="1" outlineLevel="1"/>
    <col min="56" max="56" width="4" customWidth="1" outlineLevel="1"/>
    <col min="57" max="57" width="4.28515625" customWidth="1" outlineLevel="1"/>
    <col min="58" max="59" width="4.42578125" customWidth="1" outlineLevel="1"/>
    <col min="60" max="60" width="4.28515625" customWidth="1" outlineLevel="1"/>
    <col min="61" max="61" width="4.7109375" customWidth="1" outlineLevel="1"/>
    <col min="62" max="63" width="4.42578125" customWidth="1" outlineLevel="1"/>
    <col min="64" max="64" width="8.5703125" customWidth="1" outlineLevel="1"/>
    <col min="65" max="65" width="24.85546875" customWidth="1"/>
    <col min="66" max="87" width="9.140625" customWidth="1"/>
  </cols>
  <sheetData>
    <row r="1" spans="1:87" ht="55.5" customHeight="1">
      <c r="A1" s="2"/>
      <c r="B1" s="609"/>
      <c r="C1" s="603"/>
      <c r="D1" s="3"/>
      <c r="E1" s="3"/>
      <c r="F1" s="633" t="s">
        <v>0</v>
      </c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34"/>
      <c r="AI1" s="634"/>
      <c r="AJ1" s="634"/>
      <c r="AK1" s="634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4"/>
      <c r="BB1" s="4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ht="15.75">
      <c r="A2" s="2"/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81"/>
      <c r="AJ2" s="18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4"/>
      <c r="BB2" s="4"/>
      <c r="BC2" s="2"/>
      <c r="BD2" s="2"/>
      <c r="BE2" s="2"/>
      <c r="BF2" s="2"/>
      <c r="BG2" s="2"/>
      <c r="BH2" s="2"/>
      <c r="BI2" s="2"/>
      <c r="BJ2" s="2"/>
      <c r="BK2" s="2"/>
      <c r="BL2" s="2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ht="1.5" customHeight="1">
      <c r="A3" s="2"/>
      <c r="B3" s="6"/>
      <c r="C3" s="6"/>
      <c r="D3" s="6"/>
      <c r="E3" s="6"/>
      <c r="F3" s="6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340"/>
      <c r="AJ3" s="34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4"/>
      <c r="BB3" s="4"/>
      <c r="BC3" s="2"/>
      <c r="BD3" s="2"/>
      <c r="BE3" s="2"/>
      <c r="BF3" s="2"/>
      <c r="BG3" s="2"/>
      <c r="BH3" s="2"/>
      <c r="BI3" s="2"/>
      <c r="BJ3" s="2"/>
      <c r="BK3" s="2"/>
      <c r="BL3" s="2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ht="1.5" customHeight="1">
      <c r="A4" s="2"/>
      <c r="B4" s="1"/>
      <c r="C4" s="1"/>
      <c r="D4" s="3"/>
      <c r="E4" s="3"/>
      <c r="F4" s="8"/>
      <c r="G4" s="8"/>
      <c r="H4" s="9"/>
      <c r="I4" s="9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340"/>
      <c r="AJ4" s="34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4"/>
      <c r="BB4" s="4"/>
      <c r="BC4" s="2"/>
      <c r="BD4" s="2"/>
      <c r="BE4" s="2"/>
      <c r="BF4" s="2"/>
      <c r="BG4" s="2"/>
      <c r="BH4" s="2"/>
      <c r="BI4" s="2"/>
      <c r="BJ4" s="2"/>
      <c r="BK4" s="2"/>
      <c r="BL4" s="2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ht="131.25" customHeight="1">
      <c r="A5" s="317" t="s">
        <v>1</v>
      </c>
      <c r="B5" s="11" t="s">
        <v>2</v>
      </c>
      <c r="C5" s="11" t="s">
        <v>3</v>
      </c>
      <c r="D5" s="12" t="s">
        <v>4</v>
      </c>
      <c r="E5" s="330" t="s">
        <v>486</v>
      </c>
      <c r="F5" s="13" t="s">
        <v>5</v>
      </c>
      <c r="G5" s="14" t="s">
        <v>6</v>
      </c>
      <c r="H5" s="12" t="s">
        <v>7</v>
      </c>
      <c r="I5" s="12" t="s">
        <v>8</v>
      </c>
      <c r="J5" s="15" t="s">
        <v>9</v>
      </c>
      <c r="K5" s="16" t="s">
        <v>10</v>
      </c>
      <c r="L5" s="16" t="s">
        <v>11</v>
      </c>
      <c r="M5" s="16" t="s">
        <v>12</v>
      </c>
      <c r="N5" s="14" t="s">
        <v>13</v>
      </c>
      <c r="O5" s="16" t="s">
        <v>14</v>
      </c>
      <c r="P5" s="16" t="s">
        <v>15</v>
      </c>
      <c r="Q5" s="16" t="s">
        <v>16</v>
      </c>
      <c r="R5" s="16" t="s">
        <v>17</v>
      </c>
      <c r="S5" s="16" t="s">
        <v>18</v>
      </c>
      <c r="T5" s="16" t="s">
        <v>19</v>
      </c>
      <c r="U5" s="14" t="s">
        <v>20</v>
      </c>
      <c r="V5" s="16" t="s">
        <v>21</v>
      </c>
      <c r="W5" s="16" t="s">
        <v>22</v>
      </c>
      <c r="X5" s="16" t="s">
        <v>23</v>
      </c>
      <c r="Y5" s="16" t="s">
        <v>24</v>
      </c>
      <c r="Z5" s="16" t="s">
        <v>25</v>
      </c>
      <c r="AA5" s="16" t="s">
        <v>26</v>
      </c>
      <c r="AB5" s="14" t="s">
        <v>27</v>
      </c>
      <c r="AC5" s="16" t="s">
        <v>28</v>
      </c>
      <c r="AD5" s="16" t="s">
        <v>29</v>
      </c>
      <c r="AE5" s="16" t="s">
        <v>30</v>
      </c>
      <c r="AF5" s="16" t="s">
        <v>31</v>
      </c>
      <c r="AG5" s="16" t="s">
        <v>32</v>
      </c>
      <c r="AH5" s="16" t="s">
        <v>33</v>
      </c>
      <c r="AI5" s="343" t="s">
        <v>34</v>
      </c>
      <c r="AJ5" s="344" t="s">
        <v>487</v>
      </c>
      <c r="AK5" s="12" t="s">
        <v>35</v>
      </c>
      <c r="AL5" s="12" t="s">
        <v>37</v>
      </c>
      <c r="AM5" s="12" t="s">
        <v>38</v>
      </c>
      <c r="AN5" s="12" t="s">
        <v>39</v>
      </c>
      <c r="AO5" s="12" t="s">
        <v>40</v>
      </c>
      <c r="AP5" s="18" t="s">
        <v>518</v>
      </c>
      <c r="AQ5" s="18" t="s">
        <v>41</v>
      </c>
      <c r="AR5" s="18" t="s">
        <v>42</v>
      </c>
      <c r="AS5" s="18" t="s">
        <v>43</v>
      </c>
      <c r="AT5" s="18" t="s">
        <v>44</v>
      </c>
      <c r="AU5" s="18" t="s">
        <v>45</v>
      </c>
      <c r="AV5" s="17" t="s">
        <v>46</v>
      </c>
      <c r="AW5" s="19" t="s">
        <v>47</v>
      </c>
      <c r="AX5" s="18" t="s">
        <v>48</v>
      </c>
      <c r="AY5" s="20" t="s">
        <v>49</v>
      </c>
      <c r="AZ5" s="20" t="s">
        <v>50</v>
      </c>
      <c r="BA5" s="19" t="s">
        <v>51</v>
      </c>
      <c r="BB5" s="350" t="s">
        <v>52</v>
      </c>
      <c r="BC5" s="21" t="s">
        <v>53</v>
      </c>
      <c r="BD5" s="21" t="s">
        <v>54</v>
      </c>
      <c r="BE5" s="21" t="s">
        <v>55</v>
      </c>
      <c r="BF5" s="21" t="s">
        <v>56</v>
      </c>
      <c r="BG5" s="21" t="s">
        <v>57</v>
      </c>
      <c r="BH5" s="21" t="s">
        <v>58</v>
      </c>
      <c r="BI5" s="10" t="s">
        <v>59</v>
      </c>
      <c r="BJ5" s="10" t="s">
        <v>60</v>
      </c>
      <c r="BK5" s="10" t="s">
        <v>61</v>
      </c>
      <c r="BL5" s="10" t="s">
        <v>62</v>
      </c>
      <c r="BM5" s="364" t="s">
        <v>63</v>
      </c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ht="13.5" customHeight="1">
      <c r="A6" s="319" t="s">
        <v>66</v>
      </c>
      <c r="B6" s="303" t="s">
        <v>67</v>
      </c>
      <c r="C6" s="23" t="s">
        <v>68</v>
      </c>
      <c r="D6" s="78" t="s">
        <v>69</v>
      </c>
      <c r="E6" s="83" t="s">
        <v>488</v>
      </c>
      <c r="F6" s="88" t="s">
        <v>70</v>
      </c>
      <c r="G6" s="88" t="s">
        <v>70</v>
      </c>
      <c r="H6" s="406" t="s">
        <v>71</v>
      </c>
      <c r="I6" s="89" t="s">
        <v>72</v>
      </c>
      <c r="J6" s="215">
        <v>21</v>
      </c>
      <c r="K6" s="216">
        <v>15</v>
      </c>
      <c r="L6" s="216">
        <v>6</v>
      </c>
      <c r="M6" s="216"/>
      <c r="N6" s="172">
        <f t="shared" ref="N6:N11" si="0">SUM(O6:T6)</f>
        <v>15</v>
      </c>
      <c r="O6" s="331"/>
      <c r="P6" s="331">
        <v>6</v>
      </c>
      <c r="Q6" s="331">
        <v>9</v>
      </c>
      <c r="R6" s="331"/>
      <c r="S6" s="331"/>
      <c r="T6" s="331"/>
      <c r="U6" s="172">
        <f t="shared" ref="U6:U38" si="1">SUM(V6:AA6)</f>
        <v>6</v>
      </c>
      <c r="V6" s="331"/>
      <c r="W6" s="331">
        <v>6</v>
      </c>
      <c r="X6" s="331"/>
      <c r="Y6" s="331"/>
      <c r="Z6" s="331"/>
      <c r="AA6" s="331"/>
      <c r="AB6" s="172">
        <f t="shared" ref="AB6:AB38" si="2">SUM(AC6:AH6)</f>
        <v>0</v>
      </c>
      <c r="AC6" s="26"/>
      <c r="AD6" s="26"/>
      <c r="AE6" s="26"/>
      <c r="AF6" s="26"/>
      <c r="AG6" s="26"/>
      <c r="AH6" s="26"/>
      <c r="AI6" s="345">
        <f t="shared" ref="AI6:AI11" si="3">(L6+M6)/J6</f>
        <v>0.2857142857142857</v>
      </c>
      <c r="AJ6" s="346">
        <f t="shared" ref="AJ6:AJ14" si="4">AB6/J6</f>
        <v>0</v>
      </c>
      <c r="AK6" s="88" t="s">
        <v>73</v>
      </c>
      <c r="AL6" s="243" t="s">
        <v>71</v>
      </c>
      <c r="AM6" s="210" t="s">
        <v>72</v>
      </c>
      <c r="AN6" s="243" t="s">
        <v>75</v>
      </c>
      <c r="AO6" s="210" t="s">
        <v>72</v>
      </c>
      <c r="AP6" s="244"/>
      <c r="AQ6" s="245"/>
      <c r="AR6" s="245">
        <v>1.5960000000000001</v>
      </c>
      <c r="AS6" s="244"/>
      <c r="AT6" s="244"/>
      <c r="AU6" s="244"/>
      <c r="AV6" s="246"/>
      <c r="AW6" s="127">
        <f>SUM(AP6:AV6)</f>
        <v>1.5960000000000001</v>
      </c>
      <c r="AX6" s="281"/>
      <c r="AY6" s="281"/>
      <c r="AZ6" s="281"/>
      <c r="BA6" s="28">
        <f t="shared" ref="BA6:BA18" si="5">AW6+AX6+AY6</f>
        <v>1.5960000000000001</v>
      </c>
      <c r="BB6" s="129">
        <f t="shared" ref="BB6:BB14" si="6">BA6/J6</f>
        <v>7.5999999999999998E-2</v>
      </c>
      <c r="BC6" s="29">
        <v>40</v>
      </c>
      <c r="BD6" s="29">
        <v>45</v>
      </c>
      <c r="BE6" s="30">
        <v>40</v>
      </c>
      <c r="BF6" s="30">
        <v>70</v>
      </c>
      <c r="BG6" s="30">
        <v>0</v>
      </c>
      <c r="BH6" s="30">
        <v>0</v>
      </c>
      <c r="BI6" s="31">
        <f t="shared" ref="BI6:BI38" si="7">BC6+BD6</f>
        <v>85</v>
      </c>
      <c r="BJ6" s="31">
        <f t="shared" ref="BJ6:BJ38" si="8">BE6+BF6</f>
        <v>110</v>
      </c>
      <c r="BK6" s="32">
        <f t="shared" ref="BK6:BK38" si="9">BG6+BH6</f>
        <v>0</v>
      </c>
      <c r="BL6" s="361">
        <f t="shared" ref="BL6:BL38" si="10">SUM(BI6:BK6)</f>
        <v>195</v>
      </c>
      <c r="BM6" s="371"/>
      <c r="BN6" s="126"/>
      <c r="BO6" s="33"/>
      <c r="BP6" s="7"/>
      <c r="BQ6" s="7"/>
      <c r="BR6" s="7"/>
      <c r="BS6" s="7"/>
      <c r="BT6" s="7"/>
      <c r="BU6" s="7"/>
      <c r="BV6" s="7"/>
      <c r="BW6" s="7"/>
      <c r="BX6" s="7"/>
      <c r="BY6" s="7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ht="13.5" customHeight="1">
      <c r="A7" s="320" t="s">
        <v>86</v>
      </c>
      <c r="B7" s="610" t="s">
        <v>87</v>
      </c>
      <c r="C7" s="35" t="s">
        <v>79</v>
      </c>
      <c r="D7" s="35" t="s">
        <v>80</v>
      </c>
      <c r="E7" s="35" t="s">
        <v>491</v>
      </c>
      <c r="F7" s="42" t="s">
        <v>81</v>
      </c>
      <c r="G7" s="42" t="s">
        <v>81</v>
      </c>
      <c r="H7" s="41" t="s">
        <v>84</v>
      </c>
      <c r="I7" s="42" t="s">
        <v>88</v>
      </c>
      <c r="J7" s="220">
        <v>10</v>
      </c>
      <c r="K7" s="219">
        <v>7</v>
      </c>
      <c r="L7" s="219">
        <v>2</v>
      </c>
      <c r="M7" s="219">
        <v>1</v>
      </c>
      <c r="N7" s="172">
        <f t="shared" si="0"/>
        <v>5</v>
      </c>
      <c r="O7" s="332">
        <v>0</v>
      </c>
      <c r="P7" s="332">
        <v>2</v>
      </c>
      <c r="Q7" s="332">
        <v>2</v>
      </c>
      <c r="R7" s="332">
        <v>1</v>
      </c>
      <c r="S7" s="332">
        <v>0</v>
      </c>
      <c r="T7" s="332">
        <v>0</v>
      </c>
      <c r="U7" s="172">
        <f t="shared" si="1"/>
        <v>3</v>
      </c>
      <c r="V7" s="332">
        <v>0</v>
      </c>
      <c r="W7" s="332">
        <v>3</v>
      </c>
      <c r="X7" s="332">
        <v>0</v>
      </c>
      <c r="Y7" s="332">
        <v>0</v>
      </c>
      <c r="Z7" s="332">
        <v>0</v>
      </c>
      <c r="AA7" s="332">
        <v>0</v>
      </c>
      <c r="AB7" s="172">
        <f t="shared" si="2"/>
        <v>2</v>
      </c>
      <c r="AC7" s="37">
        <v>0</v>
      </c>
      <c r="AD7" s="43">
        <v>2</v>
      </c>
      <c r="AE7" s="37">
        <v>0</v>
      </c>
      <c r="AF7" s="37">
        <v>0</v>
      </c>
      <c r="AG7" s="37">
        <v>0</v>
      </c>
      <c r="AH7" s="37">
        <v>0</v>
      </c>
      <c r="AI7" s="345">
        <f t="shared" si="3"/>
        <v>0.3</v>
      </c>
      <c r="AJ7" s="346">
        <f t="shared" si="4"/>
        <v>0.2</v>
      </c>
      <c r="AK7" s="42" t="s">
        <v>83</v>
      </c>
      <c r="AL7" s="167" t="s">
        <v>84</v>
      </c>
      <c r="AM7" s="250" t="s">
        <v>88</v>
      </c>
      <c r="AN7" s="167" t="s">
        <v>89</v>
      </c>
      <c r="AO7" s="250" t="s">
        <v>90</v>
      </c>
      <c r="AP7" s="248"/>
      <c r="AQ7" s="248"/>
      <c r="AR7" s="248"/>
      <c r="AS7" s="248"/>
      <c r="AT7" s="248">
        <v>0.59</v>
      </c>
      <c r="AU7" s="248"/>
      <c r="AV7" s="248"/>
      <c r="AW7" s="127">
        <f t="shared" ref="AW7:AW71" si="11">SUM(AP7:AV7)</f>
        <v>0.59</v>
      </c>
      <c r="AX7" s="286"/>
      <c r="AY7" s="286"/>
      <c r="AZ7" s="279"/>
      <c r="BA7" s="38">
        <f t="shared" si="5"/>
        <v>0.59</v>
      </c>
      <c r="BB7" s="129">
        <f t="shared" si="6"/>
        <v>5.8999999999999997E-2</v>
      </c>
      <c r="BC7" s="39">
        <v>30</v>
      </c>
      <c r="BD7" s="39">
        <v>30</v>
      </c>
      <c r="BE7" s="40">
        <v>50</v>
      </c>
      <c r="BF7" s="40">
        <v>10</v>
      </c>
      <c r="BG7" s="40">
        <v>0</v>
      </c>
      <c r="BH7" s="40">
        <v>0</v>
      </c>
      <c r="BI7" s="31">
        <f t="shared" si="7"/>
        <v>60</v>
      </c>
      <c r="BJ7" s="31">
        <f t="shared" si="8"/>
        <v>60</v>
      </c>
      <c r="BK7" s="32">
        <f t="shared" si="9"/>
        <v>0</v>
      </c>
      <c r="BL7" s="362">
        <f t="shared" si="10"/>
        <v>120</v>
      </c>
      <c r="BM7" s="367"/>
      <c r="BN7" s="1"/>
      <c r="BO7" s="5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ht="13.5" customHeight="1">
      <c r="A8" s="320" t="s">
        <v>77</v>
      </c>
      <c r="B8" s="611" t="s">
        <v>78</v>
      </c>
      <c r="C8" s="35" t="s">
        <v>79</v>
      </c>
      <c r="D8" s="403" t="s">
        <v>80</v>
      </c>
      <c r="E8" s="403" t="s">
        <v>491</v>
      </c>
      <c r="F8" s="42" t="s">
        <v>81</v>
      </c>
      <c r="G8" s="42" t="s">
        <v>81</v>
      </c>
      <c r="H8" s="59" t="s">
        <v>71</v>
      </c>
      <c r="I8" s="72" t="s">
        <v>82</v>
      </c>
      <c r="J8" s="218">
        <v>14</v>
      </c>
      <c r="K8" s="219">
        <v>0</v>
      </c>
      <c r="L8" s="219">
        <v>14</v>
      </c>
      <c r="M8" s="219">
        <v>0</v>
      </c>
      <c r="N8" s="172">
        <f t="shared" si="0"/>
        <v>0</v>
      </c>
      <c r="O8" s="332">
        <v>0</v>
      </c>
      <c r="P8" s="332">
        <v>0</v>
      </c>
      <c r="Q8" s="332">
        <v>0</v>
      </c>
      <c r="R8" s="332">
        <v>0</v>
      </c>
      <c r="S8" s="332">
        <v>0</v>
      </c>
      <c r="T8" s="332">
        <v>0</v>
      </c>
      <c r="U8" s="172">
        <f t="shared" si="1"/>
        <v>14</v>
      </c>
      <c r="V8" s="332">
        <v>12</v>
      </c>
      <c r="W8" s="332">
        <v>0</v>
      </c>
      <c r="X8" s="332">
        <v>2</v>
      </c>
      <c r="Y8" s="332">
        <v>0</v>
      </c>
      <c r="Z8" s="332">
        <v>0</v>
      </c>
      <c r="AA8" s="332">
        <v>0</v>
      </c>
      <c r="AB8" s="172">
        <f t="shared" si="2"/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345">
        <f t="shared" si="3"/>
        <v>1</v>
      </c>
      <c r="AJ8" s="346">
        <f t="shared" si="4"/>
        <v>0</v>
      </c>
      <c r="AK8" s="42" t="s">
        <v>83</v>
      </c>
      <c r="AL8" s="167" t="s">
        <v>71</v>
      </c>
      <c r="AM8" s="247" t="s">
        <v>82</v>
      </c>
      <c r="AN8" s="167" t="s">
        <v>84</v>
      </c>
      <c r="AO8" s="456" t="s">
        <v>85</v>
      </c>
      <c r="AP8" s="248"/>
      <c r="AQ8" s="248"/>
      <c r="AR8" s="249">
        <v>0.1</v>
      </c>
      <c r="AS8" s="249">
        <v>0.72599999999999998</v>
      </c>
      <c r="AT8" s="248">
        <v>0.28000000000000003</v>
      </c>
      <c r="AU8" s="248"/>
      <c r="AV8" s="248"/>
      <c r="AW8" s="127">
        <f t="shared" si="11"/>
        <v>1.1059999999999999</v>
      </c>
      <c r="AX8" s="286"/>
      <c r="AY8" s="286"/>
      <c r="AZ8" s="279"/>
      <c r="BA8" s="129">
        <f t="shared" si="5"/>
        <v>1.1059999999999999</v>
      </c>
      <c r="BB8" s="129">
        <f t="shared" si="6"/>
        <v>7.8999999999999987E-2</v>
      </c>
      <c r="BC8" s="39">
        <v>30</v>
      </c>
      <c r="BD8" s="40">
        <v>30</v>
      </c>
      <c r="BE8" s="40">
        <v>50</v>
      </c>
      <c r="BF8" s="40">
        <v>30</v>
      </c>
      <c r="BG8" s="40">
        <v>20</v>
      </c>
      <c r="BH8" s="40">
        <v>20</v>
      </c>
      <c r="BI8" s="31">
        <f t="shared" si="7"/>
        <v>60</v>
      </c>
      <c r="BJ8" s="31">
        <f t="shared" si="8"/>
        <v>80</v>
      </c>
      <c r="BK8" s="32">
        <f t="shared" si="9"/>
        <v>40</v>
      </c>
      <c r="BL8" s="362">
        <f t="shared" si="10"/>
        <v>180</v>
      </c>
      <c r="BM8" s="376"/>
      <c r="BN8" s="1"/>
      <c r="BO8" s="5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ht="12.75">
      <c r="A9" s="320" t="s">
        <v>92</v>
      </c>
      <c r="B9" s="306" t="s">
        <v>93</v>
      </c>
      <c r="C9" s="89" t="s">
        <v>94</v>
      </c>
      <c r="D9" s="45" t="s">
        <v>95</v>
      </c>
      <c r="E9" s="45" t="s">
        <v>490</v>
      </c>
      <c r="F9" s="46" t="s">
        <v>70</v>
      </c>
      <c r="G9" s="46" t="s">
        <v>70</v>
      </c>
      <c r="H9" s="56" t="s">
        <v>84</v>
      </c>
      <c r="I9" s="411" t="s">
        <v>96</v>
      </c>
      <c r="J9" s="217">
        <v>49</v>
      </c>
      <c r="K9" s="219">
        <v>32</v>
      </c>
      <c r="L9" s="219">
        <v>16</v>
      </c>
      <c r="M9" s="219">
        <v>1</v>
      </c>
      <c r="N9" s="172">
        <v>40</v>
      </c>
      <c r="O9" s="332"/>
      <c r="P9" s="332">
        <v>21</v>
      </c>
      <c r="Q9" s="332">
        <v>8</v>
      </c>
      <c r="R9" s="332"/>
      <c r="S9" s="332"/>
      <c r="T9" s="332"/>
      <c r="U9" s="172">
        <v>8</v>
      </c>
      <c r="V9" s="332"/>
      <c r="W9" s="332">
        <v>14</v>
      </c>
      <c r="X9" s="332">
        <v>2</v>
      </c>
      <c r="Y9" s="332">
        <v>2</v>
      </c>
      <c r="Z9" s="332"/>
      <c r="AA9" s="332"/>
      <c r="AB9" s="172">
        <v>1</v>
      </c>
      <c r="AC9" s="43"/>
      <c r="AD9" s="43">
        <v>1</v>
      </c>
      <c r="AE9" s="43">
        <v>1</v>
      </c>
      <c r="AF9" s="43"/>
      <c r="AG9" s="43"/>
      <c r="AH9" s="43"/>
      <c r="AI9" s="345">
        <f t="shared" si="3"/>
        <v>0.34693877551020408</v>
      </c>
      <c r="AJ9" s="346">
        <f t="shared" si="4"/>
        <v>2.0408163265306121E-2</v>
      </c>
      <c r="AK9" s="46" t="s">
        <v>73</v>
      </c>
      <c r="AL9" s="167" t="s">
        <v>84</v>
      </c>
      <c r="AM9" s="250" t="s">
        <v>96</v>
      </c>
      <c r="AN9" s="167" t="s">
        <v>89</v>
      </c>
      <c r="AO9" s="432" t="s">
        <v>97</v>
      </c>
      <c r="AP9" s="248"/>
      <c r="AQ9" s="244"/>
      <c r="AR9" s="249"/>
      <c r="AS9" s="249"/>
      <c r="AT9" s="249">
        <v>1</v>
      </c>
      <c r="AU9" s="249">
        <v>2.8220000000000001</v>
      </c>
      <c r="AV9" s="246"/>
      <c r="AW9" s="127">
        <f t="shared" si="11"/>
        <v>3.8220000000000001</v>
      </c>
      <c r="AX9" s="287"/>
      <c r="AY9" s="177"/>
      <c r="AZ9" s="279"/>
      <c r="BA9" s="129">
        <f t="shared" si="5"/>
        <v>3.8220000000000001</v>
      </c>
      <c r="BB9" s="129">
        <f t="shared" si="6"/>
        <v>7.8E-2</v>
      </c>
      <c r="BC9" s="40">
        <v>20</v>
      </c>
      <c r="BD9" s="40">
        <v>15</v>
      </c>
      <c r="BE9" s="40">
        <v>0</v>
      </c>
      <c r="BF9" s="40">
        <v>10</v>
      </c>
      <c r="BG9" s="40">
        <v>0</v>
      </c>
      <c r="BH9" s="40">
        <v>0</v>
      </c>
      <c r="BI9" s="31">
        <f t="shared" si="7"/>
        <v>35</v>
      </c>
      <c r="BJ9" s="31">
        <f t="shared" si="8"/>
        <v>10</v>
      </c>
      <c r="BK9" s="32">
        <f t="shared" si="9"/>
        <v>0</v>
      </c>
      <c r="BL9" s="362">
        <f t="shared" si="10"/>
        <v>45</v>
      </c>
      <c r="BM9" s="367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13.5" customHeight="1">
      <c r="A10" s="322" t="s">
        <v>99</v>
      </c>
      <c r="B10" s="307" t="s">
        <v>100</v>
      </c>
      <c r="C10" s="45" t="s">
        <v>101</v>
      </c>
      <c r="D10" s="45" t="s">
        <v>102</v>
      </c>
      <c r="E10" s="45" t="s">
        <v>488</v>
      </c>
      <c r="F10" s="48" t="s">
        <v>70</v>
      </c>
      <c r="G10" s="48" t="s">
        <v>70</v>
      </c>
      <c r="H10" s="49" t="s">
        <v>103</v>
      </c>
      <c r="I10" s="50" t="s">
        <v>97</v>
      </c>
      <c r="J10" s="217">
        <v>63</v>
      </c>
      <c r="K10" s="416">
        <v>51</v>
      </c>
      <c r="L10" s="416">
        <v>12</v>
      </c>
      <c r="M10" s="416">
        <v>0</v>
      </c>
      <c r="N10" s="172">
        <f t="shared" si="0"/>
        <v>51</v>
      </c>
      <c r="O10" s="333"/>
      <c r="P10" s="421">
        <v>30</v>
      </c>
      <c r="Q10" s="422">
        <v>21</v>
      </c>
      <c r="R10" s="422"/>
      <c r="S10" s="333"/>
      <c r="T10" s="333"/>
      <c r="U10" s="172">
        <f t="shared" si="1"/>
        <v>12</v>
      </c>
      <c r="V10" s="333"/>
      <c r="W10" s="334">
        <v>6</v>
      </c>
      <c r="X10" s="333"/>
      <c r="Y10" s="334">
        <v>6</v>
      </c>
      <c r="Z10" s="333"/>
      <c r="AA10" s="333"/>
      <c r="AB10" s="172">
        <f t="shared" si="2"/>
        <v>0</v>
      </c>
      <c r="AC10" s="51"/>
      <c r="AD10" s="51"/>
      <c r="AE10" s="51"/>
      <c r="AF10" s="51"/>
      <c r="AG10" s="51"/>
      <c r="AH10" s="51"/>
      <c r="AI10" s="345">
        <f t="shared" si="3"/>
        <v>0.19047619047619047</v>
      </c>
      <c r="AJ10" s="346">
        <f t="shared" si="4"/>
        <v>0</v>
      </c>
      <c r="AK10" s="48" t="s">
        <v>73</v>
      </c>
      <c r="AL10" s="185" t="s">
        <v>103</v>
      </c>
      <c r="AM10" s="185" t="s">
        <v>97</v>
      </c>
      <c r="AN10" s="185" t="s">
        <v>71</v>
      </c>
      <c r="AO10" s="201" t="s">
        <v>104</v>
      </c>
      <c r="AP10" s="251">
        <v>3.5659999999999998</v>
      </c>
      <c r="AQ10" s="251">
        <v>1.4370000000000001</v>
      </c>
      <c r="AR10" s="244"/>
      <c r="AS10" s="245"/>
      <c r="AT10" s="245"/>
      <c r="AU10" s="244"/>
      <c r="AV10" s="246"/>
      <c r="AW10" s="127">
        <f>SUM(AP10:AV10)</f>
        <v>5.0030000000000001</v>
      </c>
      <c r="AX10" s="178"/>
      <c r="AY10" s="178"/>
      <c r="AZ10" s="195"/>
      <c r="BA10" s="129">
        <f t="shared" si="5"/>
        <v>5.0030000000000001</v>
      </c>
      <c r="BB10" s="129">
        <f t="shared" si="6"/>
        <v>7.9412698412698421E-2</v>
      </c>
      <c r="BC10" s="57">
        <v>40</v>
      </c>
      <c r="BD10" s="57">
        <v>25</v>
      </c>
      <c r="BE10" s="54">
        <v>80</v>
      </c>
      <c r="BF10" s="54">
        <v>70</v>
      </c>
      <c r="BG10" s="54">
        <v>0</v>
      </c>
      <c r="BH10" s="54">
        <v>0</v>
      </c>
      <c r="BI10" s="31">
        <f t="shared" si="7"/>
        <v>65</v>
      </c>
      <c r="BJ10" s="31">
        <f t="shared" si="8"/>
        <v>150</v>
      </c>
      <c r="BK10" s="32">
        <f t="shared" si="9"/>
        <v>0</v>
      </c>
      <c r="BL10" s="362">
        <f t="shared" si="10"/>
        <v>215</v>
      </c>
      <c r="BM10" s="370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ht="13.5" customHeight="1">
      <c r="A11" s="321" t="s">
        <v>105</v>
      </c>
      <c r="B11" s="308" t="s">
        <v>106</v>
      </c>
      <c r="C11" s="58" t="s">
        <v>107</v>
      </c>
      <c r="D11" s="58" t="s">
        <v>108</v>
      </c>
      <c r="E11" s="58" t="s">
        <v>491</v>
      </c>
      <c r="F11" s="46" t="s">
        <v>70</v>
      </c>
      <c r="G11" s="46" t="s">
        <v>70</v>
      </c>
      <c r="H11" s="56" t="s">
        <v>109</v>
      </c>
      <c r="I11" s="79" t="s">
        <v>110</v>
      </c>
      <c r="J11" s="220">
        <v>15</v>
      </c>
      <c r="K11" s="219">
        <v>9</v>
      </c>
      <c r="L11" s="219">
        <v>6</v>
      </c>
      <c r="M11" s="219">
        <v>0</v>
      </c>
      <c r="N11" s="172">
        <f t="shared" si="0"/>
        <v>9</v>
      </c>
      <c r="O11" s="332"/>
      <c r="P11" s="332">
        <v>9</v>
      </c>
      <c r="Q11" s="332"/>
      <c r="R11" s="332"/>
      <c r="S11" s="332"/>
      <c r="T11" s="332"/>
      <c r="U11" s="172">
        <f t="shared" si="1"/>
        <v>6</v>
      </c>
      <c r="V11" s="332"/>
      <c r="W11" s="332">
        <v>5</v>
      </c>
      <c r="X11" s="332"/>
      <c r="Y11" s="332">
        <v>1</v>
      </c>
      <c r="Z11" s="332"/>
      <c r="AA11" s="332"/>
      <c r="AB11" s="172">
        <f t="shared" si="2"/>
        <v>0</v>
      </c>
      <c r="AC11" s="43"/>
      <c r="AD11" s="43"/>
      <c r="AE11" s="43"/>
      <c r="AF11" s="43"/>
      <c r="AG11" s="43"/>
      <c r="AH11" s="43"/>
      <c r="AI11" s="345">
        <f t="shared" si="3"/>
        <v>0.4</v>
      </c>
      <c r="AJ11" s="346">
        <f t="shared" si="4"/>
        <v>0</v>
      </c>
      <c r="AK11" s="46" t="s">
        <v>73</v>
      </c>
      <c r="AL11" s="169" t="s">
        <v>109</v>
      </c>
      <c r="AM11" s="169" t="s">
        <v>85</v>
      </c>
      <c r="AN11" s="169" t="s">
        <v>109</v>
      </c>
      <c r="AO11" s="243" t="s">
        <v>97</v>
      </c>
      <c r="AP11" s="251">
        <v>0.125</v>
      </c>
      <c r="AQ11" s="251">
        <v>1.0449999999999999</v>
      </c>
      <c r="AR11" s="244"/>
      <c r="AS11" s="244"/>
      <c r="AT11" s="244"/>
      <c r="AU11" s="244"/>
      <c r="AV11" s="246"/>
      <c r="AW11" s="127">
        <f t="shared" si="11"/>
        <v>1.17</v>
      </c>
      <c r="AX11" s="176"/>
      <c r="AY11" s="176"/>
      <c r="AZ11" s="176"/>
      <c r="BA11" s="129">
        <f t="shared" si="5"/>
        <v>1.17</v>
      </c>
      <c r="BB11" s="129">
        <f t="shared" si="6"/>
        <v>7.8E-2</v>
      </c>
      <c r="BC11" s="57">
        <v>30</v>
      </c>
      <c r="BD11" s="57">
        <v>50</v>
      </c>
      <c r="BE11" s="54">
        <v>10</v>
      </c>
      <c r="BF11" s="54">
        <v>30</v>
      </c>
      <c r="BG11" s="54">
        <v>0</v>
      </c>
      <c r="BH11" s="54">
        <v>0</v>
      </c>
      <c r="BI11" s="31">
        <f t="shared" si="7"/>
        <v>80</v>
      </c>
      <c r="BJ11" s="31">
        <f t="shared" si="8"/>
        <v>40</v>
      </c>
      <c r="BK11" s="32">
        <f t="shared" si="9"/>
        <v>0</v>
      </c>
      <c r="BL11" s="362">
        <f t="shared" si="10"/>
        <v>120</v>
      </c>
      <c r="BM11" s="366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s="511" customFormat="1" ht="13.5" customHeight="1">
      <c r="A12" s="488" t="s">
        <v>505</v>
      </c>
      <c r="B12" s="612" t="s">
        <v>118</v>
      </c>
      <c r="C12" s="489" t="s">
        <v>111</v>
      </c>
      <c r="D12" s="490" t="s">
        <v>112</v>
      </c>
      <c r="E12" s="490" t="s">
        <v>488</v>
      </c>
      <c r="F12" s="491" t="s">
        <v>119</v>
      </c>
      <c r="G12" s="491" t="s">
        <v>81</v>
      </c>
      <c r="H12" s="492" t="s">
        <v>109</v>
      </c>
      <c r="I12" s="493" t="s">
        <v>85</v>
      </c>
      <c r="J12" s="231">
        <v>49</v>
      </c>
      <c r="K12" s="216">
        <v>35</v>
      </c>
      <c r="L12" s="222">
        <v>12</v>
      </c>
      <c r="M12" s="222">
        <v>2</v>
      </c>
      <c r="N12" s="494">
        <v>24</v>
      </c>
      <c r="O12" s="331">
        <v>0</v>
      </c>
      <c r="P12" s="335">
        <v>16</v>
      </c>
      <c r="Q12" s="335">
        <v>16</v>
      </c>
      <c r="R12" s="331">
        <v>3</v>
      </c>
      <c r="S12" s="331">
        <v>0</v>
      </c>
      <c r="T12" s="331">
        <v>0</v>
      </c>
      <c r="U12" s="494">
        <v>20</v>
      </c>
      <c r="V12" s="332">
        <v>0</v>
      </c>
      <c r="W12" s="336">
        <v>11</v>
      </c>
      <c r="X12" s="332">
        <v>0</v>
      </c>
      <c r="Y12" s="336">
        <v>0</v>
      </c>
      <c r="Z12" s="332">
        <v>1</v>
      </c>
      <c r="AA12" s="332">
        <v>0</v>
      </c>
      <c r="AB12" s="494">
        <v>5</v>
      </c>
      <c r="AC12" s="43">
        <v>0</v>
      </c>
      <c r="AD12" s="43">
        <v>2</v>
      </c>
      <c r="AE12" s="43">
        <v>0</v>
      </c>
      <c r="AF12" s="43">
        <v>0</v>
      </c>
      <c r="AG12" s="43">
        <v>0</v>
      </c>
      <c r="AH12" s="43">
        <v>0</v>
      </c>
      <c r="AI12" s="345">
        <f>(U12+AB12)/J12</f>
        <v>0.51020408163265307</v>
      </c>
      <c r="AJ12" s="345">
        <f t="shared" si="4"/>
        <v>0.10204081632653061</v>
      </c>
      <c r="AK12" s="491" t="s">
        <v>73</v>
      </c>
      <c r="AL12" s="495" t="s">
        <v>109</v>
      </c>
      <c r="AM12" s="493" t="s">
        <v>72</v>
      </c>
      <c r="AN12" s="495" t="s">
        <v>71</v>
      </c>
      <c r="AO12" s="493" t="s">
        <v>82</v>
      </c>
      <c r="AP12" s="496"/>
      <c r="AQ12" s="497">
        <v>1.591</v>
      </c>
      <c r="AR12" s="497">
        <v>0.6</v>
      </c>
      <c r="AS12" s="498"/>
      <c r="AT12" s="498"/>
      <c r="AU12" s="498"/>
      <c r="AV12" s="499"/>
      <c r="AW12" s="127">
        <f t="shared" si="11"/>
        <v>2.1909999999999998</v>
      </c>
      <c r="AX12" s="501">
        <v>0.7</v>
      </c>
      <c r="AY12" s="502"/>
      <c r="AZ12" s="502"/>
      <c r="BA12" s="129">
        <f t="shared" si="5"/>
        <v>2.891</v>
      </c>
      <c r="BB12" s="129">
        <f t="shared" si="6"/>
        <v>5.8999999999999997E-2</v>
      </c>
      <c r="BC12" s="503">
        <v>40</v>
      </c>
      <c r="BD12" s="504">
        <v>0</v>
      </c>
      <c r="BE12" s="504">
        <v>0</v>
      </c>
      <c r="BF12" s="505">
        <v>30</v>
      </c>
      <c r="BG12" s="504">
        <v>20</v>
      </c>
      <c r="BH12" s="505">
        <v>0</v>
      </c>
      <c r="BI12" s="506">
        <f t="shared" si="7"/>
        <v>40</v>
      </c>
      <c r="BJ12" s="506">
        <f t="shared" si="8"/>
        <v>30</v>
      </c>
      <c r="BK12" s="507">
        <f t="shared" si="9"/>
        <v>20</v>
      </c>
      <c r="BL12" s="508">
        <f t="shared" si="10"/>
        <v>90</v>
      </c>
      <c r="BM12" s="509"/>
      <c r="BN12" s="510"/>
      <c r="BO12" s="510"/>
      <c r="BP12" s="510"/>
      <c r="BQ12" s="510"/>
      <c r="BR12" s="510"/>
      <c r="BS12" s="510"/>
      <c r="BT12" s="510"/>
      <c r="BU12" s="510"/>
      <c r="BV12" s="510"/>
      <c r="BW12" s="510"/>
      <c r="BX12" s="510"/>
      <c r="BY12" s="510"/>
      <c r="BZ12" s="510"/>
      <c r="CA12" s="510"/>
      <c r="CB12" s="510"/>
      <c r="CC12" s="510"/>
      <c r="CD12" s="510"/>
      <c r="CE12" s="510"/>
      <c r="CF12" s="510"/>
      <c r="CG12" s="510"/>
      <c r="CH12" s="510"/>
      <c r="CI12" s="510"/>
    </row>
    <row r="13" spans="1:87" ht="13.5" customHeight="1">
      <c r="A13" s="318" t="s">
        <v>121</v>
      </c>
      <c r="B13" s="308" t="s">
        <v>122</v>
      </c>
      <c r="C13" s="58" t="s">
        <v>123</v>
      </c>
      <c r="D13" s="55" t="s">
        <v>124</v>
      </c>
      <c r="E13" s="58" t="s">
        <v>489</v>
      </c>
      <c r="F13" s="46" t="s">
        <v>70</v>
      </c>
      <c r="G13" s="46" t="s">
        <v>70</v>
      </c>
      <c r="H13" s="74" t="s">
        <v>103</v>
      </c>
      <c r="I13" s="79" t="s">
        <v>125</v>
      </c>
      <c r="J13" s="231">
        <v>14</v>
      </c>
      <c r="K13" s="216">
        <v>8</v>
      </c>
      <c r="L13" s="222">
        <v>6</v>
      </c>
      <c r="M13" s="222">
        <v>0</v>
      </c>
      <c r="N13" s="172">
        <f t="shared" ref="N13:N26" si="12">SUM(O13:T13)</f>
        <v>8</v>
      </c>
      <c r="O13" s="331"/>
      <c r="P13" s="335">
        <v>8</v>
      </c>
      <c r="Q13" s="335"/>
      <c r="R13" s="331"/>
      <c r="S13" s="331"/>
      <c r="T13" s="331"/>
      <c r="U13" s="172">
        <f t="shared" si="1"/>
        <v>6</v>
      </c>
      <c r="V13" s="332"/>
      <c r="W13" s="336">
        <v>4</v>
      </c>
      <c r="X13" s="332"/>
      <c r="Y13" s="336">
        <v>2</v>
      </c>
      <c r="Z13" s="332"/>
      <c r="AA13" s="332"/>
      <c r="AB13" s="172">
        <f t="shared" si="2"/>
        <v>0</v>
      </c>
      <c r="AC13" s="43"/>
      <c r="AD13" s="43"/>
      <c r="AE13" s="43"/>
      <c r="AF13" s="43"/>
      <c r="AG13" s="43"/>
      <c r="AH13" s="43"/>
      <c r="AI13" s="345">
        <f>(L13+M13)/J13</f>
        <v>0.42857142857142855</v>
      </c>
      <c r="AJ13" s="345">
        <f t="shared" si="4"/>
        <v>0</v>
      </c>
      <c r="AK13" s="46" t="s">
        <v>73</v>
      </c>
      <c r="AL13" s="173" t="s">
        <v>103</v>
      </c>
      <c r="AM13" s="243" t="s">
        <v>97</v>
      </c>
      <c r="AN13" s="169" t="s">
        <v>109</v>
      </c>
      <c r="AO13" s="243" t="s">
        <v>72</v>
      </c>
      <c r="AP13" s="251"/>
      <c r="AQ13" s="251">
        <v>1.119</v>
      </c>
      <c r="AR13" s="244"/>
      <c r="AS13" s="244"/>
      <c r="AT13" s="244"/>
      <c r="AU13" s="244"/>
      <c r="AV13" s="246"/>
      <c r="AW13" s="127">
        <f t="shared" si="11"/>
        <v>1.119</v>
      </c>
      <c r="AX13" s="289"/>
      <c r="AY13" s="176"/>
      <c r="AZ13" s="176"/>
      <c r="BA13" s="129">
        <f t="shared" si="5"/>
        <v>1.119</v>
      </c>
      <c r="BB13" s="129">
        <f t="shared" si="6"/>
        <v>7.9928571428571432E-2</v>
      </c>
      <c r="BC13" s="61">
        <v>50</v>
      </c>
      <c r="BD13" s="54">
        <v>25</v>
      </c>
      <c r="BE13" s="61">
        <v>30</v>
      </c>
      <c r="BF13" s="61">
        <v>70</v>
      </c>
      <c r="BG13" s="54">
        <v>0</v>
      </c>
      <c r="BH13" s="61">
        <v>0</v>
      </c>
      <c r="BI13" s="31">
        <f t="shared" si="7"/>
        <v>75</v>
      </c>
      <c r="BJ13" s="31">
        <f t="shared" si="8"/>
        <v>100</v>
      </c>
      <c r="BK13" s="32">
        <f t="shared" si="9"/>
        <v>0</v>
      </c>
      <c r="BL13" s="362">
        <f t="shared" si="10"/>
        <v>175</v>
      </c>
      <c r="BM13" s="367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ht="13.5" customHeight="1">
      <c r="A14" s="323" t="s">
        <v>117</v>
      </c>
      <c r="B14" s="400" t="s">
        <v>137</v>
      </c>
      <c r="C14" s="62" t="s">
        <v>138</v>
      </c>
      <c r="D14" s="58" t="s">
        <v>124</v>
      </c>
      <c r="E14" s="58" t="s">
        <v>489</v>
      </c>
      <c r="F14" s="41" t="s">
        <v>70</v>
      </c>
      <c r="G14" s="41" t="s">
        <v>70</v>
      </c>
      <c r="H14" s="41" t="s">
        <v>71</v>
      </c>
      <c r="I14" s="63" t="s">
        <v>132</v>
      </c>
      <c r="J14" s="231">
        <v>9</v>
      </c>
      <c r="K14" s="219">
        <v>9</v>
      </c>
      <c r="L14" s="219"/>
      <c r="M14" s="219"/>
      <c r="N14" s="172">
        <f t="shared" si="12"/>
        <v>9</v>
      </c>
      <c r="O14" s="332">
        <v>1</v>
      </c>
      <c r="P14" s="332">
        <v>2</v>
      </c>
      <c r="Q14" s="332">
        <v>6</v>
      </c>
      <c r="R14" s="332"/>
      <c r="S14" s="332"/>
      <c r="T14" s="332"/>
      <c r="U14" s="172">
        <f t="shared" si="1"/>
        <v>0</v>
      </c>
      <c r="V14" s="332"/>
      <c r="W14" s="332"/>
      <c r="X14" s="332"/>
      <c r="Y14" s="332"/>
      <c r="Z14" s="332"/>
      <c r="AA14" s="332"/>
      <c r="AB14" s="172">
        <f t="shared" si="2"/>
        <v>0</v>
      </c>
      <c r="AC14" s="43"/>
      <c r="AD14" s="43"/>
      <c r="AE14" s="43"/>
      <c r="AF14" s="43"/>
      <c r="AG14" s="43"/>
      <c r="AH14" s="43"/>
      <c r="AI14" s="345">
        <f>(L14+M14)/J14</f>
        <v>0</v>
      </c>
      <c r="AJ14" s="345">
        <f t="shared" si="4"/>
        <v>0</v>
      </c>
      <c r="AK14" s="46" t="s">
        <v>73</v>
      </c>
      <c r="AL14" s="186" t="s">
        <v>71</v>
      </c>
      <c r="AM14" s="186" t="s">
        <v>104</v>
      </c>
      <c r="AN14" s="186" t="s">
        <v>71</v>
      </c>
      <c r="AO14" s="173" t="s">
        <v>97</v>
      </c>
      <c r="AP14" s="253"/>
      <c r="AQ14" s="253"/>
      <c r="AR14" s="174">
        <v>0.70199999999999996</v>
      </c>
      <c r="AS14" s="174"/>
      <c r="AT14" s="252"/>
      <c r="AU14" s="252"/>
      <c r="AV14" s="175"/>
      <c r="AW14" s="127">
        <f t="shared" si="11"/>
        <v>0.70199999999999996</v>
      </c>
      <c r="AX14" s="176"/>
      <c r="AY14" s="176"/>
      <c r="AZ14" s="176"/>
      <c r="BA14" s="129">
        <f t="shared" si="5"/>
        <v>0.70199999999999996</v>
      </c>
      <c r="BB14" s="129">
        <f t="shared" si="6"/>
        <v>7.8E-2</v>
      </c>
      <c r="BC14" s="57">
        <v>40</v>
      </c>
      <c r="BD14" s="57">
        <v>25</v>
      </c>
      <c r="BE14" s="54">
        <v>0</v>
      </c>
      <c r="BF14" s="54">
        <v>30</v>
      </c>
      <c r="BG14" s="54">
        <v>0</v>
      </c>
      <c r="BH14" s="54">
        <v>0</v>
      </c>
      <c r="BI14" s="31">
        <f t="shared" si="7"/>
        <v>65</v>
      </c>
      <c r="BJ14" s="31">
        <f t="shared" si="8"/>
        <v>30</v>
      </c>
      <c r="BK14" s="32">
        <f t="shared" si="9"/>
        <v>0</v>
      </c>
      <c r="BL14" s="362">
        <f t="shared" si="10"/>
        <v>95</v>
      </c>
      <c r="BM14" s="366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ht="13.5" customHeight="1">
      <c r="A15" s="323" t="s">
        <v>117</v>
      </c>
      <c r="B15" s="397" t="s">
        <v>131</v>
      </c>
      <c r="C15" s="62" t="s">
        <v>129</v>
      </c>
      <c r="D15" s="58" t="s">
        <v>130</v>
      </c>
      <c r="E15" s="58" t="s">
        <v>489</v>
      </c>
      <c r="F15" s="41" t="s">
        <v>70</v>
      </c>
      <c r="G15" s="41" t="s">
        <v>70</v>
      </c>
      <c r="H15" s="41" t="s">
        <v>89</v>
      </c>
      <c r="I15" s="63" t="s">
        <v>104</v>
      </c>
      <c r="J15" s="231">
        <v>0</v>
      </c>
      <c r="K15" s="219">
        <v>15</v>
      </c>
      <c r="L15" s="219">
        <v>8</v>
      </c>
      <c r="M15" s="219">
        <v>0</v>
      </c>
      <c r="N15" s="172">
        <f t="shared" si="12"/>
        <v>0</v>
      </c>
      <c r="O15" s="332"/>
      <c r="P15" s="332"/>
      <c r="Q15" s="332"/>
      <c r="R15" s="332"/>
      <c r="S15" s="332"/>
      <c r="T15" s="332"/>
      <c r="U15" s="172">
        <f t="shared" si="1"/>
        <v>0</v>
      </c>
      <c r="V15" s="332"/>
      <c r="W15" s="332"/>
      <c r="X15" s="332"/>
      <c r="Y15" s="332"/>
      <c r="Z15" s="332"/>
      <c r="AA15" s="332"/>
      <c r="AB15" s="172">
        <f t="shared" si="2"/>
        <v>0</v>
      </c>
      <c r="AC15" s="43"/>
      <c r="AD15" s="43"/>
      <c r="AE15" s="43"/>
      <c r="AF15" s="43"/>
      <c r="AG15" s="43"/>
      <c r="AH15" s="43"/>
      <c r="AI15" s="345">
        <v>0</v>
      </c>
      <c r="AJ15" s="345">
        <v>0</v>
      </c>
      <c r="AK15" s="34" t="s">
        <v>73</v>
      </c>
      <c r="AL15" s="186" t="s">
        <v>89</v>
      </c>
      <c r="AM15" s="186" t="s">
        <v>132</v>
      </c>
      <c r="AN15" s="186" t="s">
        <v>133</v>
      </c>
      <c r="AO15" s="173" t="s">
        <v>85</v>
      </c>
      <c r="AP15" s="253"/>
      <c r="AQ15" s="253"/>
      <c r="AR15" s="174"/>
      <c r="AS15" s="174"/>
      <c r="AT15" s="252"/>
      <c r="AU15" s="254">
        <v>1.794</v>
      </c>
      <c r="AV15" s="175"/>
      <c r="AW15" s="127">
        <f t="shared" si="11"/>
        <v>1.794</v>
      </c>
      <c r="AX15" s="176"/>
      <c r="AY15" s="176"/>
      <c r="AZ15" s="176"/>
      <c r="BA15" s="129">
        <f t="shared" si="5"/>
        <v>1.794</v>
      </c>
      <c r="BB15" s="129">
        <f>BA15/23</f>
        <v>7.8E-2</v>
      </c>
      <c r="BC15" s="57">
        <v>50</v>
      </c>
      <c r="BD15" s="57">
        <v>45</v>
      </c>
      <c r="BE15" s="54">
        <v>0</v>
      </c>
      <c r="BF15" s="54">
        <v>30</v>
      </c>
      <c r="BG15" s="53">
        <v>0</v>
      </c>
      <c r="BH15" s="53">
        <v>0</v>
      </c>
      <c r="BI15" s="31">
        <f t="shared" si="7"/>
        <v>95</v>
      </c>
      <c r="BJ15" s="31">
        <f t="shared" si="8"/>
        <v>30</v>
      </c>
      <c r="BK15" s="32">
        <f t="shared" si="9"/>
        <v>0</v>
      </c>
      <c r="BL15" s="361">
        <f t="shared" si="10"/>
        <v>125</v>
      </c>
      <c r="BM15" s="465" t="s">
        <v>492</v>
      </c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ht="13.5" customHeight="1">
      <c r="A16" s="323" t="s">
        <v>117</v>
      </c>
      <c r="B16" s="400" t="s">
        <v>134</v>
      </c>
      <c r="C16" s="62" t="s">
        <v>129</v>
      </c>
      <c r="D16" s="58" t="s">
        <v>130</v>
      </c>
      <c r="E16" s="58" t="s">
        <v>489</v>
      </c>
      <c r="F16" s="41" t="s">
        <v>70</v>
      </c>
      <c r="G16" s="41" t="s">
        <v>135</v>
      </c>
      <c r="H16" s="41" t="s">
        <v>114</v>
      </c>
      <c r="I16" s="63" t="s">
        <v>97</v>
      </c>
      <c r="J16" s="231">
        <v>6</v>
      </c>
      <c r="K16" s="219">
        <v>6</v>
      </c>
      <c r="L16" s="219">
        <v>0</v>
      </c>
      <c r="M16" s="219">
        <v>0</v>
      </c>
      <c r="N16" s="172">
        <f t="shared" si="12"/>
        <v>6</v>
      </c>
      <c r="O16" s="332"/>
      <c r="P16" s="332">
        <v>6</v>
      </c>
      <c r="Q16" s="332"/>
      <c r="R16" s="332"/>
      <c r="S16" s="332"/>
      <c r="T16" s="332"/>
      <c r="U16" s="172">
        <f t="shared" si="1"/>
        <v>0</v>
      </c>
      <c r="V16" s="332"/>
      <c r="W16" s="332"/>
      <c r="X16" s="332"/>
      <c r="Y16" s="332"/>
      <c r="Z16" s="332"/>
      <c r="AA16" s="332"/>
      <c r="AB16" s="172">
        <f t="shared" si="2"/>
        <v>0</v>
      </c>
      <c r="AC16" s="43"/>
      <c r="AD16" s="43"/>
      <c r="AE16" s="43"/>
      <c r="AF16" s="43"/>
      <c r="AG16" s="43"/>
      <c r="AH16" s="43"/>
      <c r="AI16" s="345">
        <f t="shared" ref="AI16:AI27" si="13">(L16+M16)/J16</f>
        <v>0</v>
      </c>
      <c r="AJ16" s="345">
        <f t="shared" ref="AJ16:AJ30" si="14">AB16/J16</f>
        <v>0</v>
      </c>
      <c r="AK16" s="34" t="s">
        <v>136</v>
      </c>
      <c r="AL16" s="186" t="s">
        <v>114</v>
      </c>
      <c r="AM16" s="186" t="s">
        <v>97</v>
      </c>
      <c r="AN16" s="186" t="s">
        <v>109</v>
      </c>
      <c r="AO16" s="173" t="s">
        <v>97</v>
      </c>
      <c r="AP16" s="253"/>
      <c r="AQ16" s="253">
        <v>0.28799999999999998</v>
      </c>
      <c r="AR16" s="174"/>
      <c r="AS16" s="174"/>
      <c r="AT16" s="252"/>
      <c r="AU16" s="252"/>
      <c r="AV16" s="175"/>
      <c r="AW16" s="127">
        <f t="shared" si="11"/>
        <v>0.28799999999999998</v>
      </c>
      <c r="AX16" s="176"/>
      <c r="AY16" s="176"/>
      <c r="AZ16" s="176"/>
      <c r="BA16" s="129">
        <f t="shared" si="5"/>
        <v>0.28799999999999998</v>
      </c>
      <c r="BB16" s="129">
        <f t="shared" ref="BB16:BB30" si="15">BA16/J16</f>
        <v>4.7999999999999994E-2</v>
      </c>
      <c r="BC16" s="57">
        <v>50</v>
      </c>
      <c r="BD16" s="57">
        <v>45</v>
      </c>
      <c r="BE16" s="54">
        <v>0</v>
      </c>
      <c r="BF16" s="54">
        <v>30</v>
      </c>
      <c r="BG16" s="54">
        <v>0</v>
      </c>
      <c r="BH16" s="54">
        <v>0</v>
      </c>
      <c r="BI16" s="85">
        <f t="shared" si="7"/>
        <v>95</v>
      </c>
      <c r="BJ16" s="85">
        <f t="shared" si="8"/>
        <v>30</v>
      </c>
      <c r="BK16" s="32">
        <f t="shared" si="9"/>
        <v>0</v>
      </c>
      <c r="BL16" s="361">
        <f t="shared" si="10"/>
        <v>125</v>
      </c>
      <c r="BM16" s="366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ht="13.5" customHeight="1">
      <c r="A17" s="318" t="s">
        <v>127</v>
      </c>
      <c r="B17" s="308" t="s">
        <v>128</v>
      </c>
      <c r="C17" s="58" t="s">
        <v>129</v>
      </c>
      <c r="D17" s="58" t="s">
        <v>130</v>
      </c>
      <c r="E17" s="58" t="s">
        <v>489</v>
      </c>
      <c r="F17" s="46" t="s">
        <v>70</v>
      </c>
      <c r="G17" s="46" t="s">
        <v>70</v>
      </c>
      <c r="H17" s="74" t="s">
        <v>84</v>
      </c>
      <c r="I17" s="63" t="s">
        <v>90</v>
      </c>
      <c r="J17" s="231">
        <v>3</v>
      </c>
      <c r="K17" s="219">
        <v>2</v>
      </c>
      <c r="L17" s="219">
        <v>1</v>
      </c>
      <c r="M17" s="219">
        <v>0</v>
      </c>
      <c r="N17" s="172">
        <f t="shared" si="12"/>
        <v>1</v>
      </c>
      <c r="O17" s="332"/>
      <c r="P17" s="332">
        <v>1</v>
      </c>
      <c r="Q17" s="332"/>
      <c r="R17" s="332"/>
      <c r="S17" s="332"/>
      <c r="T17" s="332"/>
      <c r="U17" s="172">
        <f t="shared" si="1"/>
        <v>2</v>
      </c>
      <c r="V17" s="332"/>
      <c r="W17" s="332">
        <v>2</v>
      </c>
      <c r="X17" s="332"/>
      <c r="Y17" s="332"/>
      <c r="Z17" s="332"/>
      <c r="AA17" s="332"/>
      <c r="AB17" s="172">
        <f t="shared" si="2"/>
        <v>0</v>
      </c>
      <c r="AC17" s="43"/>
      <c r="AD17" s="43"/>
      <c r="AE17" s="43"/>
      <c r="AF17" s="43"/>
      <c r="AG17" s="43"/>
      <c r="AH17" s="43"/>
      <c r="AI17" s="345">
        <f t="shared" si="13"/>
        <v>0.33333333333333331</v>
      </c>
      <c r="AJ17" s="345">
        <f t="shared" si="14"/>
        <v>0</v>
      </c>
      <c r="AK17" s="34" t="s">
        <v>73</v>
      </c>
      <c r="AL17" s="173" t="s">
        <v>84</v>
      </c>
      <c r="AM17" s="173" t="s">
        <v>90</v>
      </c>
      <c r="AN17" s="173" t="s">
        <v>84</v>
      </c>
      <c r="AO17" s="173" t="s">
        <v>97</v>
      </c>
      <c r="AP17" s="174"/>
      <c r="AQ17" s="174"/>
      <c r="AR17" s="174"/>
      <c r="AS17" s="437"/>
      <c r="AT17" s="437">
        <v>0.22800000000000001</v>
      </c>
      <c r="AU17" s="252"/>
      <c r="AV17" s="175"/>
      <c r="AW17" s="127">
        <f t="shared" si="11"/>
        <v>0.22800000000000001</v>
      </c>
      <c r="AX17" s="176"/>
      <c r="AY17" s="176"/>
      <c r="AZ17" s="176"/>
      <c r="BA17" s="129">
        <f t="shared" si="5"/>
        <v>0.22800000000000001</v>
      </c>
      <c r="BB17" s="129">
        <f t="shared" si="15"/>
        <v>7.5999999999999998E-2</v>
      </c>
      <c r="BC17" s="57">
        <v>50</v>
      </c>
      <c r="BD17" s="57">
        <v>45</v>
      </c>
      <c r="BE17" s="54">
        <v>0</v>
      </c>
      <c r="BF17" s="54">
        <v>10</v>
      </c>
      <c r="BG17" s="53">
        <v>0</v>
      </c>
      <c r="BH17" s="53">
        <v>0</v>
      </c>
      <c r="BI17" s="31">
        <f t="shared" si="7"/>
        <v>95</v>
      </c>
      <c r="BJ17" s="31">
        <f t="shared" si="8"/>
        <v>10</v>
      </c>
      <c r="BK17" s="32">
        <f t="shared" si="9"/>
        <v>0</v>
      </c>
      <c r="BL17" s="361">
        <f t="shared" si="10"/>
        <v>105</v>
      </c>
      <c r="BM17" s="366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13.5" customHeight="1">
      <c r="A18" s="318" t="s">
        <v>139</v>
      </c>
      <c r="B18" s="310" t="s">
        <v>140</v>
      </c>
      <c r="C18" s="48" t="s">
        <v>141</v>
      </c>
      <c r="D18" s="76" t="s">
        <v>112</v>
      </c>
      <c r="E18" s="76" t="s">
        <v>488</v>
      </c>
      <c r="F18" s="48" t="s">
        <v>70</v>
      </c>
      <c r="G18" s="48" t="s">
        <v>70</v>
      </c>
      <c r="H18" s="48" t="s">
        <v>75</v>
      </c>
      <c r="I18" s="63" t="s">
        <v>104</v>
      </c>
      <c r="J18" s="231">
        <v>25</v>
      </c>
      <c r="K18" s="219">
        <v>16</v>
      </c>
      <c r="L18" s="219">
        <v>9</v>
      </c>
      <c r="M18" s="219">
        <v>0</v>
      </c>
      <c r="N18" s="172">
        <f t="shared" si="12"/>
        <v>16</v>
      </c>
      <c r="O18" s="332"/>
      <c r="P18" s="332">
        <v>12</v>
      </c>
      <c r="Q18" s="332">
        <v>4</v>
      </c>
      <c r="R18" s="332"/>
      <c r="S18" s="332"/>
      <c r="T18" s="332"/>
      <c r="U18" s="172">
        <f t="shared" si="1"/>
        <v>9</v>
      </c>
      <c r="V18" s="332"/>
      <c r="W18" s="332">
        <v>7</v>
      </c>
      <c r="X18" s="332">
        <v>2</v>
      </c>
      <c r="Y18" s="332">
        <v>0</v>
      </c>
      <c r="Z18" s="332"/>
      <c r="AA18" s="332"/>
      <c r="AB18" s="172">
        <f t="shared" si="2"/>
        <v>0</v>
      </c>
      <c r="AC18" s="43"/>
      <c r="AD18" s="37">
        <v>0</v>
      </c>
      <c r="AE18" s="43"/>
      <c r="AF18" s="43"/>
      <c r="AG18" s="43"/>
      <c r="AH18" s="43"/>
      <c r="AI18" s="345">
        <f t="shared" si="13"/>
        <v>0.36</v>
      </c>
      <c r="AJ18" s="345">
        <f t="shared" si="14"/>
        <v>0</v>
      </c>
      <c r="AK18" s="46" t="s">
        <v>73</v>
      </c>
      <c r="AL18" s="195" t="s">
        <v>75</v>
      </c>
      <c r="AM18" s="195" t="s">
        <v>104</v>
      </c>
      <c r="AN18" s="195" t="s">
        <v>84</v>
      </c>
      <c r="AO18" s="173" t="s">
        <v>104</v>
      </c>
      <c r="AP18" s="253"/>
      <c r="AQ18" s="253"/>
      <c r="AR18" s="252"/>
      <c r="AS18" s="174">
        <v>1.88</v>
      </c>
      <c r="AT18" s="252"/>
      <c r="AU18" s="252"/>
      <c r="AV18" s="175"/>
      <c r="AW18" s="127">
        <f t="shared" si="11"/>
        <v>1.88</v>
      </c>
      <c r="AX18" s="176"/>
      <c r="AY18" s="176"/>
      <c r="AZ18" s="176"/>
      <c r="BA18" s="129">
        <f t="shared" si="5"/>
        <v>1.88</v>
      </c>
      <c r="BB18" s="129">
        <f t="shared" si="15"/>
        <v>7.5199999999999989E-2</v>
      </c>
      <c r="BC18" s="54">
        <v>40</v>
      </c>
      <c r="BD18" s="54">
        <v>45</v>
      </c>
      <c r="BE18" s="54">
        <v>10</v>
      </c>
      <c r="BF18" s="54">
        <v>30</v>
      </c>
      <c r="BG18" s="53">
        <v>0</v>
      </c>
      <c r="BH18" s="53">
        <v>0</v>
      </c>
      <c r="BI18" s="31">
        <f t="shared" si="7"/>
        <v>85</v>
      </c>
      <c r="BJ18" s="31">
        <f t="shared" si="8"/>
        <v>40</v>
      </c>
      <c r="BK18" s="32">
        <f t="shared" si="9"/>
        <v>0</v>
      </c>
      <c r="BL18" s="362">
        <f t="shared" si="10"/>
        <v>125</v>
      </c>
      <c r="BM18" s="366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ht="13.5" customHeight="1">
      <c r="A19" s="324">
        <v>36226</v>
      </c>
      <c r="B19" s="307" t="s">
        <v>143</v>
      </c>
      <c r="C19" s="45" t="s">
        <v>144</v>
      </c>
      <c r="D19" s="45" t="s">
        <v>130</v>
      </c>
      <c r="E19" s="45" t="s">
        <v>489</v>
      </c>
      <c r="F19" s="63" t="s">
        <v>70</v>
      </c>
      <c r="G19" s="63" t="s">
        <v>145</v>
      </c>
      <c r="H19" s="86" t="s">
        <v>103</v>
      </c>
      <c r="I19" s="451" t="s">
        <v>97</v>
      </c>
      <c r="J19" s="231">
        <v>59</v>
      </c>
      <c r="K19" s="418">
        <v>41</v>
      </c>
      <c r="L19" s="418">
        <v>15</v>
      </c>
      <c r="M19" s="454">
        <v>3</v>
      </c>
      <c r="N19" s="172">
        <f t="shared" si="12"/>
        <v>41</v>
      </c>
      <c r="O19" s="178"/>
      <c r="P19" s="288">
        <v>19</v>
      </c>
      <c r="Q19" s="288">
        <v>12</v>
      </c>
      <c r="R19" s="288">
        <v>10</v>
      </c>
      <c r="S19" s="178"/>
      <c r="T19" s="178"/>
      <c r="U19" s="172">
        <f t="shared" si="1"/>
        <v>15</v>
      </c>
      <c r="V19" s="178"/>
      <c r="W19" s="288">
        <v>10</v>
      </c>
      <c r="X19" s="178"/>
      <c r="Y19" s="178"/>
      <c r="Z19" s="288">
        <v>5</v>
      </c>
      <c r="AA19" s="178"/>
      <c r="AB19" s="172">
        <f t="shared" si="2"/>
        <v>3</v>
      </c>
      <c r="AC19" s="54"/>
      <c r="AD19" s="424">
        <v>2</v>
      </c>
      <c r="AE19" s="424">
        <v>1</v>
      </c>
      <c r="AF19" s="54"/>
      <c r="AG19" s="54"/>
      <c r="AH19" s="54"/>
      <c r="AI19" s="345">
        <f t="shared" si="13"/>
        <v>0.30508474576271188</v>
      </c>
      <c r="AJ19" s="345">
        <f t="shared" si="14"/>
        <v>5.0847457627118647E-2</v>
      </c>
      <c r="AK19" s="63" t="s">
        <v>73</v>
      </c>
      <c r="AL19" s="194" t="s">
        <v>114</v>
      </c>
      <c r="AM19" s="255" t="s">
        <v>96</v>
      </c>
      <c r="AN19" s="194" t="s">
        <v>109</v>
      </c>
      <c r="AO19" s="188" t="s">
        <v>97</v>
      </c>
      <c r="AP19" s="436">
        <v>2</v>
      </c>
      <c r="AQ19" s="436">
        <v>2.8519999999999999</v>
      </c>
      <c r="AR19" s="256"/>
      <c r="AS19" s="256"/>
      <c r="AT19" s="256"/>
      <c r="AU19" s="256"/>
      <c r="AV19" s="246"/>
      <c r="AW19" s="127">
        <f t="shared" si="11"/>
        <v>4.8520000000000003</v>
      </c>
      <c r="AX19" s="178"/>
      <c r="AY19" s="178"/>
      <c r="AZ19" s="195"/>
      <c r="BA19" s="129">
        <f>AW19+AY19+AZ19</f>
        <v>4.8520000000000003</v>
      </c>
      <c r="BB19" s="129">
        <f t="shared" si="15"/>
        <v>8.2237288135593223E-2</v>
      </c>
      <c r="BC19" s="54">
        <v>50</v>
      </c>
      <c r="BD19" s="54">
        <v>45</v>
      </c>
      <c r="BE19" s="54">
        <v>0</v>
      </c>
      <c r="BF19" s="54">
        <v>70</v>
      </c>
      <c r="BG19" s="65">
        <v>0</v>
      </c>
      <c r="BH19" s="54">
        <v>0</v>
      </c>
      <c r="BI19" s="31">
        <f t="shared" si="7"/>
        <v>95</v>
      </c>
      <c r="BJ19" s="31">
        <f t="shared" si="8"/>
        <v>70</v>
      </c>
      <c r="BK19" s="32">
        <f t="shared" si="9"/>
        <v>0</v>
      </c>
      <c r="BL19" s="362">
        <f t="shared" si="10"/>
        <v>165</v>
      </c>
      <c r="BM19" s="368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ht="13.5" customHeight="1">
      <c r="A20" s="324" t="s">
        <v>147</v>
      </c>
      <c r="B20" s="122" t="s">
        <v>148</v>
      </c>
      <c r="C20" s="66" t="s">
        <v>144</v>
      </c>
      <c r="D20" s="45" t="s">
        <v>130</v>
      </c>
      <c r="E20" s="45" t="s">
        <v>489</v>
      </c>
      <c r="F20" s="48" t="s">
        <v>70</v>
      </c>
      <c r="G20" s="48" t="s">
        <v>70</v>
      </c>
      <c r="H20" s="52" t="s">
        <v>114</v>
      </c>
      <c r="I20" s="67" t="s">
        <v>125</v>
      </c>
      <c r="J20" s="231">
        <v>45</v>
      </c>
      <c r="K20" s="226">
        <v>35</v>
      </c>
      <c r="L20" s="226">
        <v>10</v>
      </c>
      <c r="M20" s="226">
        <v>0</v>
      </c>
      <c r="N20" s="172">
        <f t="shared" si="12"/>
        <v>35</v>
      </c>
      <c r="O20" s="199"/>
      <c r="P20" s="191">
        <v>24</v>
      </c>
      <c r="Q20" s="191">
        <v>11</v>
      </c>
      <c r="R20" s="199"/>
      <c r="S20" s="199"/>
      <c r="T20" s="199"/>
      <c r="U20" s="172">
        <f t="shared" si="1"/>
        <v>10</v>
      </c>
      <c r="V20" s="195"/>
      <c r="W20" s="186">
        <v>10</v>
      </c>
      <c r="X20" s="195"/>
      <c r="Y20" s="195"/>
      <c r="Z20" s="195"/>
      <c r="AA20" s="195"/>
      <c r="AB20" s="172">
        <f t="shared" si="2"/>
        <v>0</v>
      </c>
      <c r="AC20" s="43"/>
      <c r="AD20" s="43"/>
      <c r="AE20" s="43"/>
      <c r="AF20" s="43"/>
      <c r="AG20" s="43"/>
      <c r="AH20" s="43"/>
      <c r="AI20" s="345">
        <f t="shared" si="13"/>
        <v>0.22222222222222221</v>
      </c>
      <c r="AJ20" s="345">
        <f t="shared" si="14"/>
        <v>0</v>
      </c>
      <c r="AK20" s="48" t="s">
        <v>73</v>
      </c>
      <c r="AL20" s="185" t="s">
        <v>114</v>
      </c>
      <c r="AM20" s="201" t="s">
        <v>97</v>
      </c>
      <c r="AN20" s="185" t="s">
        <v>71</v>
      </c>
      <c r="AO20" s="188" t="s">
        <v>72</v>
      </c>
      <c r="AP20" s="248">
        <v>1</v>
      </c>
      <c r="AQ20" s="251">
        <v>2.5099999999999998</v>
      </c>
      <c r="AR20" s="199"/>
      <c r="AS20" s="257"/>
      <c r="AT20" s="199"/>
      <c r="AU20" s="199"/>
      <c r="AV20" s="246"/>
      <c r="AW20" s="127">
        <f t="shared" si="11"/>
        <v>3.51</v>
      </c>
      <c r="AX20" s="289"/>
      <c r="AY20" s="290"/>
      <c r="AZ20" s="291"/>
      <c r="BA20" s="129">
        <f>AW20+AY20+AZ20</f>
        <v>3.51</v>
      </c>
      <c r="BB20" s="129">
        <f t="shared" si="15"/>
        <v>7.8E-2</v>
      </c>
      <c r="BC20" s="61">
        <v>50</v>
      </c>
      <c r="BD20" s="54">
        <v>45</v>
      </c>
      <c r="BE20" s="61">
        <v>30</v>
      </c>
      <c r="BF20" s="61">
        <v>70</v>
      </c>
      <c r="BG20" s="54">
        <v>0</v>
      </c>
      <c r="BH20" s="61">
        <v>0</v>
      </c>
      <c r="BI20" s="31">
        <f t="shared" si="7"/>
        <v>95</v>
      </c>
      <c r="BJ20" s="31">
        <f t="shared" si="8"/>
        <v>100</v>
      </c>
      <c r="BK20" s="32">
        <f t="shared" si="9"/>
        <v>0</v>
      </c>
      <c r="BL20" s="362">
        <f t="shared" si="10"/>
        <v>195</v>
      </c>
      <c r="BM20" s="36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</row>
    <row r="21" spans="1:87" ht="13.5" customHeight="1">
      <c r="A21" s="324" t="s">
        <v>149</v>
      </c>
      <c r="B21" s="308" t="s">
        <v>106</v>
      </c>
      <c r="C21" s="58" t="s">
        <v>150</v>
      </c>
      <c r="D21" s="58" t="s">
        <v>112</v>
      </c>
      <c r="E21" s="58" t="s">
        <v>488</v>
      </c>
      <c r="F21" s="46" t="s">
        <v>70</v>
      </c>
      <c r="G21" s="46" t="s">
        <v>70</v>
      </c>
      <c r="H21" s="74" t="s">
        <v>75</v>
      </c>
      <c r="I21" s="63" t="s">
        <v>104</v>
      </c>
      <c r="J21" s="231">
        <v>30</v>
      </c>
      <c r="K21" s="219">
        <v>19</v>
      </c>
      <c r="L21" s="219">
        <v>10</v>
      </c>
      <c r="M21" s="225">
        <v>1</v>
      </c>
      <c r="N21" s="172">
        <f t="shared" si="12"/>
        <v>19</v>
      </c>
      <c r="O21" s="178"/>
      <c r="P21" s="178">
        <v>14</v>
      </c>
      <c r="Q21" s="178">
        <v>5</v>
      </c>
      <c r="R21" s="178"/>
      <c r="S21" s="178"/>
      <c r="T21" s="178"/>
      <c r="U21" s="172">
        <f t="shared" si="1"/>
        <v>10</v>
      </c>
      <c r="V21" s="178"/>
      <c r="W21" s="178">
        <v>9</v>
      </c>
      <c r="X21" s="178">
        <v>0</v>
      </c>
      <c r="Y21" s="178">
        <v>1</v>
      </c>
      <c r="Z21" s="178"/>
      <c r="AA21" s="178"/>
      <c r="AB21" s="172">
        <f t="shared" si="2"/>
        <v>1</v>
      </c>
      <c r="AC21" s="54"/>
      <c r="AD21" s="54">
        <v>1</v>
      </c>
      <c r="AE21" s="54"/>
      <c r="AF21" s="54"/>
      <c r="AG21" s="54"/>
      <c r="AH21" s="54"/>
      <c r="AI21" s="345">
        <f t="shared" si="13"/>
        <v>0.36666666666666664</v>
      </c>
      <c r="AJ21" s="345">
        <f t="shared" si="14"/>
        <v>3.3333333333333333E-2</v>
      </c>
      <c r="AK21" s="46" t="s">
        <v>73</v>
      </c>
      <c r="AL21" s="173" t="s">
        <v>75</v>
      </c>
      <c r="AM21" s="173" t="s">
        <v>104</v>
      </c>
      <c r="AN21" s="173" t="s">
        <v>84</v>
      </c>
      <c r="AO21" s="431" t="s">
        <v>97</v>
      </c>
      <c r="AP21" s="244"/>
      <c r="AQ21" s="244"/>
      <c r="AR21" s="244"/>
      <c r="AS21" s="244">
        <v>2</v>
      </c>
      <c r="AT21" s="244">
        <v>0.16</v>
      </c>
      <c r="AU21" s="244"/>
      <c r="AV21" s="246"/>
      <c r="AW21" s="127">
        <f t="shared" si="11"/>
        <v>2.16</v>
      </c>
      <c r="AX21" s="178"/>
      <c r="AY21" s="178"/>
      <c r="AZ21" s="195"/>
      <c r="BA21" s="129">
        <f t="shared" ref="BA21:BA67" si="16">AW21+AX21+AY21</f>
        <v>2.16</v>
      </c>
      <c r="BB21" s="129">
        <f t="shared" si="15"/>
        <v>7.2000000000000008E-2</v>
      </c>
      <c r="BC21" s="57">
        <v>40</v>
      </c>
      <c r="BD21" s="57">
        <v>0</v>
      </c>
      <c r="BE21" s="54">
        <v>50</v>
      </c>
      <c r="BF21" s="54">
        <v>30</v>
      </c>
      <c r="BG21" s="54">
        <v>0</v>
      </c>
      <c r="BH21" s="53">
        <v>0</v>
      </c>
      <c r="BI21" s="31">
        <f t="shared" si="7"/>
        <v>40</v>
      </c>
      <c r="BJ21" s="31">
        <f t="shared" si="8"/>
        <v>80</v>
      </c>
      <c r="BK21" s="32">
        <f t="shared" si="9"/>
        <v>0</v>
      </c>
      <c r="BL21" s="362">
        <f t="shared" si="10"/>
        <v>120</v>
      </c>
      <c r="BM21" s="368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ht="13.5" customHeight="1">
      <c r="A22" s="320" t="s">
        <v>151</v>
      </c>
      <c r="B22" s="303" t="s">
        <v>152</v>
      </c>
      <c r="C22" s="23" t="s">
        <v>153</v>
      </c>
      <c r="D22" s="55" t="s">
        <v>130</v>
      </c>
      <c r="E22" s="58" t="s">
        <v>489</v>
      </c>
      <c r="F22" s="46" t="s">
        <v>70</v>
      </c>
      <c r="G22" s="46" t="s">
        <v>70</v>
      </c>
      <c r="H22" s="56" t="s">
        <v>84</v>
      </c>
      <c r="I22" s="89" t="s">
        <v>82</v>
      </c>
      <c r="J22" s="231">
        <v>20</v>
      </c>
      <c r="K22" s="219">
        <v>13</v>
      </c>
      <c r="L22" s="219">
        <v>7</v>
      </c>
      <c r="M22" s="219">
        <v>0</v>
      </c>
      <c r="N22" s="172">
        <f t="shared" si="12"/>
        <v>11</v>
      </c>
      <c r="O22" s="332"/>
      <c r="P22" s="332">
        <v>8</v>
      </c>
      <c r="Q22" s="332">
        <v>3</v>
      </c>
      <c r="R22" s="332"/>
      <c r="S22" s="332"/>
      <c r="T22" s="332"/>
      <c r="U22" s="172">
        <f t="shared" si="1"/>
        <v>9</v>
      </c>
      <c r="V22" s="332"/>
      <c r="W22" s="332">
        <v>7</v>
      </c>
      <c r="X22" s="332">
        <v>2</v>
      </c>
      <c r="Y22" s="332"/>
      <c r="Z22" s="332"/>
      <c r="AA22" s="332"/>
      <c r="AB22" s="172">
        <f t="shared" si="2"/>
        <v>0</v>
      </c>
      <c r="AC22" s="43"/>
      <c r="AD22" s="43"/>
      <c r="AE22" s="43"/>
      <c r="AF22" s="43"/>
      <c r="AG22" s="43"/>
      <c r="AH22" s="43"/>
      <c r="AI22" s="345">
        <f t="shared" si="13"/>
        <v>0.35</v>
      </c>
      <c r="AJ22" s="345">
        <f t="shared" si="14"/>
        <v>0</v>
      </c>
      <c r="AK22" s="46" t="s">
        <v>73</v>
      </c>
      <c r="AL22" s="169" t="s">
        <v>84</v>
      </c>
      <c r="AM22" s="210" t="s">
        <v>82</v>
      </c>
      <c r="AN22" s="169" t="s">
        <v>89</v>
      </c>
      <c r="AO22" s="210" t="s">
        <v>97</v>
      </c>
      <c r="AP22" s="244"/>
      <c r="AQ22" s="245"/>
      <c r="AR22" s="245"/>
      <c r="AS22" s="244"/>
      <c r="AT22" s="251">
        <v>0.52</v>
      </c>
      <c r="AU22" s="258">
        <v>1</v>
      </c>
      <c r="AV22" s="246"/>
      <c r="AW22" s="127">
        <f t="shared" si="11"/>
        <v>1.52</v>
      </c>
      <c r="AX22" s="287"/>
      <c r="AY22" s="177"/>
      <c r="AZ22" s="279"/>
      <c r="BA22" s="129">
        <f t="shared" si="16"/>
        <v>1.52</v>
      </c>
      <c r="BB22" s="129">
        <f t="shared" si="15"/>
        <v>7.5999999999999998E-2</v>
      </c>
      <c r="BC22" s="40">
        <v>50</v>
      </c>
      <c r="BD22" s="40">
        <v>45</v>
      </c>
      <c r="BE22" s="40">
        <v>0</v>
      </c>
      <c r="BF22" s="40">
        <v>30</v>
      </c>
      <c r="BG22" s="40">
        <v>0</v>
      </c>
      <c r="BH22" s="40">
        <v>0</v>
      </c>
      <c r="BI22" s="31">
        <f t="shared" si="7"/>
        <v>95</v>
      </c>
      <c r="BJ22" s="31">
        <f t="shared" si="8"/>
        <v>30</v>
      </c>
      <c r="BK22" s="32">
        <f t="shared" si="9"/>
        <v>0</v>
      </c>
      <c r="BL22" s="362">
        <f t="shared" si="10"/>
        <v>125</v>
      </c>
      <c r="BM22" s="367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ht="13.5" customHeight="1">
      <c r="A23" s="320" t="s">
        <v>154</v>
      </c>
      <c r="B23" s="396" t="s">
        <v>155</v>
      </c>
      <c r="C23" s="35" t="s">
        <v>156</v>
      </c>
      <c r="D23" s="58" t="s">
        <v>157</v>
      </c>
      <c r="E23" s="58" t="s">
        <v>489</v>
      </c>
      <c r="F23" s="46" t="s">
        <v>70</v>
      </c>
      <c r="G23" s="46" t="s">
        <v>70</v>
      </c>
      <c r="H23" s="74" t="s">
        <v>84</v>
      </c>
      <c r="I23" s="24" t="s">
        <v>72</v>
      </c>
      <c r="J23" s="231">
        <v>44</v>
      </c>
      <c r="K23" s="219">
        <v>27</v>
      </c>
      <c r="L23" s="219">
        <v>15</v>
      </c>
      <c r="M23" s="219">
        <v>2</v>
      </c>
      <c r="N23" s="172">
        <v>40</v>
      </c>
      <c r="O23" s="332"/>
      <c r="P23" s="332">
        <v>17</v>
      </c>
      <c r="Q23" s="332">
        <v>6</v>
      </c>
      <c r="R23" s="332"/>
      <c r="S23" s="332"/>
      <c r="T23" s="332"/>
      <c r="U23" s="172">
        <v>3</v>
      </c>
      <c r="V23" s="332"/>
      <c r="W23" s="332">
        <v>13</v>
      </c>
      <c r="X23" s="332">
        <v>2</v>
      </c>
      <c r="Y23" s="332">
        <v>2</v>
      </c>
      <c r="Z23" s="332"/>
      <c r="AA23" s="332"/>
      <c r="AB23" s="172">
        <v>1</v>
      </c>
      <c r="AC23" s="43"/>
      <c r="AD23" s="43">
        <v>2</v>
      </c>
      <c r="AE23" s="43">
        <v>2</v>
      </c>
      <c r="AF23" s="43"/>
      <c r="AG23" s="43"/>
      <c r="AH23" s="43"/>
      <c r="AI23" s="345">
        <f t="shared" si="13"/>
        <v>0.38636363636363635</v>
      </c>
      <c r="AJ23" s="345">
        <f t="shared" si="14"/>
        <v>2.2727272727272728E-2</v>
      </c>
      <c r="AK23" s="46" t="s">
        <v>73</v>
      </c>
      <c r="AL23" s="173" t="s">
        <v>84</v>
      </c>
      <c r="AM23" s="192" t="s">
        <v>72</v>
      </c>
      <c r="AN23" s="173" t="s">
        <v>89</v>
      </c>
      <c r="AO23" s="210" t="s">
        <v>110</v>
      </c>
      <c r="AP23" s="244"/>
      <c r="AQ23" s="244"/>
      <c r="AR23" s="244"/>
      <c r="AS23" s="244"/>
      <c r="AT23" s="258">
        <v>2</v>
      </c>
      <c r="AU23" s="258">
        <v>1.3340000000000001</v>
      </c>
      <c r="AV23" s="246"/>
      <c r="AW23" s="127">
        <f t="shared" si="11"/>
        <v>3.3340000000000001</v>
      </c>
      <c r="AX23" s="177"/>
      <c r="AY23" s="177"/>
      <c r="AZ23" s="279"/>
      <c r="BA23" s="129">
        <f t="shared" si="16"/>
        <v>3.3340000000000001</v>
      </c>
      <c r="BB23" s="129">
        <f t="shared" si="15"/>
        <v>7.5772727272727269E-2</v>
      </c>
      <c r="BC23" s="39">
        <v>50</v>
      </c>
      <c r="BD23" s="39">
        <v>45</v>
      </c>
      <c r="BE23" s="40">
        <v>0</v>
      </c>
      <c r="BF23" s="40">
        <v>30</v>
      </c>
      <c r="BG23" s="40">
        <v>0</v>
      </c>
      <c r="BH23" s="40">
        <v>0</v>
      </c>
      <c r="BI23" s="31">
        <f t="shared" si="7"/>
        <v>95</v>
      </c>
      <c r="BJ23" s="31">
        <f t="shared" si="8"/>
        <v>30</v>
      </c>
      <c r="BK23" s="32">
        <f t="shared" si="9"/>
        <v>0</v>
      </c>
      <c r="BL23" s="362">
        <f t="shared" si="10"/>
        <v>125</v>
      </c>
      <c r="BM23" s="367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3.5" customHeight="1">
      <c r="A24" s="318" t="s">
        <v>158</v>
      </c>
      <c r="B24" s="308" t="s">
        <v>106</v>
      </c>
      <c r="C24" s="58" t="s">
        <v>159</v>
      </c>
      <c r="D24" s="58" t="s">
        <v>80</v>
      </c>
      <c r="E24" s="58" t="s">
        <v>491</v>
      </c>
      <c r="F24" s="46" t="s">
        <v>70</v>
      </c>
      <c r="G24" s="46" t="s">
        <v>70</v>
      </c>
      <c r="H24" s="74" t="s">
        <v>75</v>
      </c>
      <c r="I24" s="73" t="s">
        <v>110</v>
      </c>
      <c r="J24" s="231">
        <v>12</v>
      </c>
      <c r="K24" s="219">
        <v>4</v>
      </c>
      <c r="L24" s="219">
        <v>8</v>
      </c>
      <c r="M24" s="219">
        <v>0</v>
      </c>
      <c r="N24" s="172">
        <f t="shared" si="12"/>
        <v>4</v>
      </c>
      <c r="O24" s="332"/>
      <c r="P24" s="332">
        <v>4</v>
      </c>
      <c r="Q24" s="332"/>
      <c r="R24" s="332"/>
      <c r="S24" s="332"/>
      <c r="T24" s="332"/>
      <c r="U24" s="172">
        <f t="shared" si="1"/>
        <v>8</v>
      </c>
      <c r="V24" s="332"/>
      <c r="W24" s="332">
        <v>8</v>
      </c>
      <c r="X24" s="332"/>
      <c r="Y24" s="332"/>
      <c r="Z24" s="332"/>
      <c r="AA24" s="332"/>
      <c r="AB24" s="172">
        <f t="shared" si="2"/>
        <v>0</v>
      </c>
      <c r="AC24" s="43"/>
      <c r="AD24" s="43"/>
      <c r="AE24" s="43"/>
      <c r="AF24" s="43"/>
      <c r="AG24" s="43"/>
      <c r="AH24" s="43"/>
      <c r="AI24" s="345">
        <f t="shared" si="13"/>
        <v>0.66666666666666663</v>
      </c>
      <c r="AJ24" s="345">
        <f t="shared" si="14"/>
        <v>0</v>
      </c>
      <c r="AK24" s="46" t="s">
        <v>73</v>
      </c>
      <c r="AL24" s="173" t="s">
        <v>75</v>
      </c>
      <c r="AM24" s="173" t="s">
        <v>110</v>
      </c>
      <c r="AN24" s="173" t="s">
        <v>75</v>
      </c>
      <c r="AO24" s="208" t="s">
        <v>97</v>
      </c>
      <c r="AP24" s="259"/>
      <c r="AQ24" s="259"/>
      <c r="AR24" s="259"/>
      <c r="AS24" s="259">
        <v>0.96</v>
      </c>
      <c r="AT24" s="259"/>
      <c r="AU24" s="259"/>
      <c r="AV24" s="246"/>
      <c r="AW24" s="127">
        <f t="shared" si="11"/>
        <v>0.96</v>
      </c>
      <c r="AX24" s="176"/>
      <c r="AY24" s="176"/>
      <c r="AZ24" s="176"/>
      <c r="BA24" s="129">
        <f t="shared" si="16"/>
        <v>0.96</v>
      </c>
      <c r="BB24" s="129">
        <f t="shared" si="15"/>
        <v>0.08</v>
      </c>
      <c r="BC24" s="54">
        <v>30</v>
      </c>
      <c r="BD24" s="54">
        <v>30</v>
      </c>
      <c r="BE24" s="54">
        <v>0</v>
      </c>
      <c r="BF24" s="54">
        <v>10</v>
      </c>
      <c r="BG24" s="54">
        <v>0</v>
      </c>
      <c r="BH24" s="54">
        <v>0</v>
      </c>
      <c r="BI24" s="31">
        <f t="shared" si="7"/>
        <v>60</v>
      </c>
      <c r="BJ24" s="31">
        <f t="shared" si="8"/>
        <v>10</v>
      </c>
      <c r="BK24" s="32">
        <f t="shared" si="9"/>
        <v>0</v>
      </c>
      <c r="BL24" s="362">
        <f t="shared" si="10"/>
        <v>70</v>
      </c>
      <c r="BM24" s="366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3.5" customHeight="1">
      <c r="A25" s="318" t="s">
        <v>160</v>
      </c>
      <c r="B25" s="308" t="s">
        <v>106</v>
      </c>
      <c r="C25" s="58" t="s">
        <v>159</v>
      </c>
      <c r="D25" s="58" t="s">
        <v>80</v>
      </c>
      <c r="E25" s="58" t="s">
        <v>491</v>
      </c>
      <c r="F25" s="46" t="s">
        <v>70</v>
      </c>
      <c r="G25" s="46" t="s">
        <v>135</v>
      </c>
      <c r="H25" s="74" t="s">
        <v>75</v>
      </c>
      <c r="I25" s="73" t="s">
        <v>110</v>
      </c>
      <c r="J25" s="231">
        <v>4</v>
      </c>
      <c r="K25" s="219">
        <v>2</v>
      </c>
      <c r="L25" s="219">
        <v>2</v>
      </c>
      <c r="M25" s="219">
        <v>0</v>
      </c>
      <c r="N25" s="172">
        <f t="shared" si="12"/>
        <v>2</v>
      </c>
      <c r="O25" s="332"/>
      <c r="P25" s="332">
        <v>2</v>
      </c>
      <c r="Q25" s="332"/>
      <c r="R25" s="332"/>
      <c r="S25" s="332"/>
      <c r="T25" s="332"/>
      <c r="U25" s="172">
        <f t="shared" si="1"/>
        <v>2</v>
      </c>
      <c r="V25" s="332"/>
      <c r="W25" s="332">
        <v>2</v>
      </c>
      <c r="X25" s="332"/>
      <c r="Y25" s="332"/>
      <c r="Z25" s="332"/>
      <c r="AA25" s="332"/>
      <c r="AB25" s="172">
        <f t="shared" si="2"/>
        <v>0</v>
      </c>
      <c r="AC25" s="43"/>
      <c r="AD25" s="43"/>
      <c r="AE25" s="43"/>
      <c r="AF25" s="43"/>
      <c r="AG25" s="43"/>
      <c r="AH25" s="43"/>
      <c r="AI25" s="345">
        <f t="shared" si="13"/>
        <v>0.5</v>
      </c>
      <c r="AJ25" s="345">
        <f t="shared" si="14"/>
        <v>0</v>
      </c>
      <c r="AK25" s="46" t="s">
        <v>136</v>
      </c>
      <c r="AL25" s="173" t="s">
        <v>75</v>
      </c>
      <c r="AM25" s="173" t="s">
        <v>110</v>
      </c>
      <c r="AN25" s="173" t="s">
        <v>75</v>
      </c>
      <c r="AO25" s="208" t="s">
        <v>97</v>
      </c>
      <c r="AP25" s="244"/>
      <c r="AQ25" s="244"/>
      <c r="AR25" s="244"/>
      <c r="AS25" s="244">
        <v>0.188</v>
      </c>
      <c r="AT25" s="244"/>
      <c r="AU25" s="244"/>
      <c r="AV25" s="246"/>
      <c r="AW25" s="127">
        <f t="shared" si="11"/>
        <v>0.188</v>
      </c>
      <c r="AX25" s="176"/>
      <c r="AY25" s="176"/>
      <c r="AZ25" s="176"/>
      <c r="BA25" s="129">
        <f t="shared" si="16"/>
        <v>0.188</v>
      </c>
      <c r="BB25" s="129">
        <f t="shared" si="15"/>
        <v>4.7E-2</v>
      </c>
      <c r="BC25" s="54">
        <v>30</v>
      </c>
      <c r="BD25" s="54">
        <v>30</v>
      </c>
      <c r="BE25" s="54">
        <v>0</v>
      </c>
      <c r="BF25" s="54">
        <v>10</v>
      </c>
      <c r="BG25" s="54">
        <v>0</v>
      </c>
      <c r="BH25" s="54">
        <v>0</v>
      </c>
      <c r="BI25" s="31">
        <f t="shared" si="7"/>
        <v>60</v>
      </c>
      <c r="BJ25" s="31">
        <f t="shared" si="8"/>
        <v>10</v>
      </c>
      <c r="BK25" s="32">
        <f t="shared" si="9"/>
        <v>0</v>
      </c>
      <c r="BL25" s="362">
        <f t="shared" si="10"/>
        <v>70</v>
      </c>
      <c r="BM25" s="366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ht="13.5" customHeight="1">
      <c r="A26" s="318" t="s">
        <v>161</v>
      </c>
      <c r="B26" s="311" t="s">
        <v>162</v>
      </c>
      <c r="C26" s="78" t="s">
        <v>163</v>
      </c>
      <c r="D26" s="58" t="s">
        <v>102</v>
      </c>
      <c r="E26" s="58" t="s">
        <v>488</v>
      </c>
      <c r="F26" s="46" t="s">
        <v>70</v>
      </c>
      <c r="G26" s="46" t="s">
        <v>145</v>
      </c>
      <c r="H26" s="56" t="s">
        <v>109</v>
      </c>
      <c r="I26" s="79" t="s">
        <v>88</v>
      </c>
      <c r="J26" s="231">
        <v>29</v>
      </c>
      <c r="K26" s="216">
        <v>29</v>
      </c>
      <c r="L26" s="216"/>
      <c r="M26" s="216"/>
      <c r="N26" s="172">
        <f t="shared" si="12"/>
        <v>29</v>
      </c>
      <c r="O26" s="331">
        <v>12</v>
      </c>
      <c r="P26" s="331">
        <v>4</v>
      </c>
      <c r="Q26" s="331">
        <v>13</v>
      </c>
      <c r="R26" s="331"/>
      <c r="S26" s="331"/>
      <c r="T26" s="331"/>
      <c r="U26" s="172">
        <f t="shared" si="1"/>
        <v>0</v>
      </c>
      <c r="V26" s="332"/>
      <c r="W26" s="332"/>
      <c r="X26" s="332"/>
      <c r="Y26" s="332"/>
      <c r="Z26" s="332"/>
      <c r="AA26" s="332"/>
      <c r="AB26" s="172">
        <f t="shared" si="2"/>
        <v>0</v>
      </c>
      <c r="AC26" s="43"/>
      <c r="AD26" s="43"/>
      <c r="AE26" s="43"/>
      <c r="AF26" s="43"/>
      <c r="AG26" s="43"/>
      <c r="AH26" s="43"/>
      <c r="AI26" s="345">
        <f t="shared" si="13"/>
        <v>0</v>
      </c>
      <c r="AJ26" s="345">
        <f t="shared" si="14"/>
        <v>0</v>
      </c>
      <c r="AK26" s="46" t="s">
        <v>73</v>
      </c>
      <c r="AL26" s="169" t="s">
        <v>109</v>
      </c>
      <c r="AM26" s="243" t="s">
        <v>88</v>
      </c>
      <c r="AN26" s="169" t="s">
        <v>71</v>
      </c>
      <c r="AO26" s="243" t="s">
        <v>88</v>
      </c>
      <c r="AP26" s="251"/>
      <c r="AQ26" s="251">
        <v>0.6</v>
      </c>
      <c r="AR26" s="251">
        <v>1.6619999999999999</v>
      </c>
      <c r="AS26" s="244"/>
      <c r="AT26" s="244"/>
      <c r="AU26" s="244"/>
      <c r="AV26" s="246"/>
      <c r="AW26" s="127">
        <f t="shared" si="11"/>
        <v>2.262</v>
      </c>
      <c r="AX26" s="289"/>
      <c r="AY26" s="289"/>
      <c r="AZ26" s="292"/>
      <c r="BA26" s="129">
        <f t="shared" si="16"/>
        <v>2.262</v>
      </c>
      <c r="BB26" s="129">
        <f t="shared" si="15"/>
        <v>7.8E-2</v>
      </c>
      <c r="BC26" s="61">
        <v>40</v>
      </c>
      <c r="BD26" s="54">
        <v>25</v>
      </c>
      <c r="BE26" s="61">
        <v>0</v>
      </c>
      <c r="BF26" s="61">
        <v>70</v>
      </c>
      <c r="BG26" s="65">
        <v>0</v>
      </c>
      <c r="BH26" s="61">
        <v>0</v>
      </c>
      <c r="BI26" s="31">
        <f t="shared" si="7"/>
        <v>65</v>
      </c>
      <c r="BJ26" s="31">
        <f t="shared" si="8"/>
        <v>70</v>
      </c>
      <c r="BK26" s="32">
        <f t="shared" si="9"/>
        <v>0</v>
      </c>
      <c r="BL26" s="362">
        <f t="shared" si="10"/>
        <v>135</v>
      </c>
      <c r="BM26" s="366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ht="13.5" customHeight="1">
      <c r="A27" s="318" t="s">
        <v>500</v>
      </c>
      <c r="B27" s="311" t="s">
        <v>501</v>
      </c>
      <c r="C27" s="83" t="s">
        <v>163</v>
      </c>
      <c r="D27" s="58" t="s">
        <v>102</v>
      </c>
      <c r="E27" s="58" t="s">
        <v>488</v>
      </c>
      <c r="F27" s="46" t="s">
        <v>70</v>
      </c>
      <c r="G27" s="46" t="s">
        <v>70</v>
      </c>
      <c r="H27" s="56" t="s">
        <v>114</v>
      </c>
      <c r="I27" s="467" t="s">
        <v>88</v>
      </c>
      <c r="J27" s="231">
        <v>2</v>
      </c>
      <c r="K27" s="468">
        <v>1</v>
      </c>
      <c r="L27" s="468">
        <v>1</v>
      </c>
      <c r="M27" s="468">
        <v>0</v>
      </c>
      <c r="N27" s="172">
        <v>0</v>
      </c>
      <c r="O27" s="469"/>
      <c r="P27" s="469"/>
      <c r="Q27" s="469"/>
      <c r="R27" s="469"/>
      <c r="S27" s="469"/>
      <c r="T27" s="469"/>
      <c r="U27" s="172">
        <v>2</v>
      </c>
      <c r="V27" s="332"/>
      <c r="W27" s="332"/>
      <c r="X27" s="332"/>
      <c r="Y27" s="332"/>
      <c r="Z27" s="332"/>
      <c r="AA27" s="332"/>
      <c r="AB27" s="172">
        <v>0</v>
      </c>
      <c r="AC27" s="43"/>
      <c r="AD27" s="43"/>
      <c r="AE27" s="43"/>
      <c r="AF27" s="43"/>
      <c r="AG27" s="43"/>
      <c r="AH27" s="43"/>
      <c r="AI27" s="345">
        <f t="shared" si="13"/>
        <v>0.5</v>
      </c>
      <c r="AJ27" s="345">
        <f t="shared" si="14"/>
        <v>0</v>
      </c>
      <c r="AK27" s="46" t="s">
        <v>73</v>
      </c>
      <c r="AL27" s="169" t="s">
        <v>114</v>
      </c>
      <c r="AM27" s="470" t="s">
        <v>88</v>
      </c>
      <c r="AN27" s="169" t="s">
        <v>109</v>
      </c>
      <c r="AO27" s="470" t="s">
        <v>104</v>
      </c>
      <c r="AP27" s="251">
        <v>0.157</v>
      </c>
      <c r="AQ27" s="251"/>
      <c r="AR27" s="251"/>
      <c r="AS27" s="356"/>
      <c r="AT27" s="356"/>
      <c r="AU27" s="356"/>
      <c r="AV27" s="471"/>
      <c r="AW27" s="127">
        <f t="shared" si="11"/>
        <v>0.157</v>
      </c>
      <c r="AX27" s="472"/>
      <c r="AY27" s="472"/>
      <c r="AZ27" s="473"/>
      <c r="BA27" s="129">
        <f t="shared" si="16"/>
        <v>0.157</v>
      </c>
      <c r="BB27" s="129">
        <f t="shared" si="15"/>
        <v>7.85E-2</v>
      </c>
      <c r="BC27" s="474">
        <v>40</v>
      </c>
      <c r="BD27" s="54">
        <v>25</v>
      </c>
      <c r="BE27" s="474">
        <v>80</v>
      </c>
      <c r="BF27" s="474">
        <v>70</v>
      </c>
      <c r="BG27" s="65">
        <v>20</v>
      </c>
      <c r="BH27" s="474">
        <v>20</v>
      </c>
      <c r="BI27" s="85">
        <f t="shared" si="7"/>
        <v>65</v>
      </c>
      <c r="BJ27" s="85">
        <f t="shared" si="8"/>
        <v>150</v>
      </c>
      <c r="BK27" s="32">
        <f t="shared" si="9"/>
        <v>40</v>
      </c>
      <c r="BL27" s="362">
        <f t="shared" si="10"/>
        <v>255</v>
      </c>
      <c r="BM27" s="366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ht="13.5" customHeight="1">
      <c r="A28" s="318" t="s">
        <v>167</v>
      </c>
      <c r="B28" s="606" t="s">
        <v>168</v>
      </c>
      <c r="C28" s="66" t="s">
        <v>163</v>
      </c>
      <c r="D28" s="45" t="s">
        <v>102</v>
      </c>
      <c r="E28" s="45" t="s">
        <v>488</v>
      </c>
      <c r="F28" s="48" t="s">
        <v>81</v>
      </c>
      <c r="G28" s="48" t="s">
        <v>81</v>
      </c>
      <c r="H28" s="41" t="s">
        <v>109</v>
      </c>
      <c r="I28" s="72" t="s">
        <v>115</v>
      </c>
      <c r="J28" s="231">
        <v>22</v>
      </c>
      <c r="K28" s="222">
        <v>18</v>
      </c>
      <c r="L28" s="222">
        <v>4</v>
      </c>
      <c r="M28" s="216">
        <v>0</v>
      </c>
      <c r="N28" s="172">
        <f t="shared" ref="N28:N67" si="17">SUM(O28:T28)</f>
        <v>18</v>
      </c>
      <c r="O28" s="331">
        <v>0</v>
      </c>
      <c r="P28" s="331">
        <v>0</v>
      </c>
      <c r="Q28" s="331">
        <v>14</v>
      </c>
      <c r="R28" s="331">
        <v>4</v>
      </c>
      <c r="S28" s="331">
        <v>0</v>
      </c>
      <c r="T28" s="331">
        <v>0</v>
      </c>
      <c r="U28" s="172">
        <f t="shared" si="1"/>
        <v>4</v>
      </c>
      <c r="V28" s="332">
        <v>0</v>
      </c>
      <c r="W28" s="332">
        <v>4</v>
      </c>
      <c r="X28" s="332">
        <v>0</v>
      </c>
      <c r="Y28" s="332">
        <v>0</v>
      </c>
      <c r="Z28" s="332">
        <v>0</v>
      </c>
      <c r="AA28" s="332">
        <v>0</v>
      </c>
      <c r="AB28" s="172">
        <f t="shared" si="2"/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345">
        <f>(U28+AB28)/J28</f>
        <v>0.18181818181818182</v>
      </c>
      <c r="AJ28" s="345">
        <f t="shared" si="14"/>
        <v>0</v>
      </c>
      <c r="AK28" s="46" t="s">
        <v>73</v>
      </c>
      <c r="AL28" s="260" t="s">
        <v>109</v>
      </c>
      <c r="AM28" s="261" t="s">
        <v>169</v>
      </c>
      <c r="AN28" s="260" t="s">
        <v>71</v>
      </c>
      <c r="AO28" s="262" t="s">
        <v>115</v>
      </c>
      <c r="AP28" s="248">
        <v>5.5E-2</v>
      </c>
      <c r="AQ28" s="248">
        <v>0.5</v>
      </c>
      <c r="AR28" s="249">
        <v>0.24299999999999999</v>
      </c>
      <c r="AS28" s="248"/>
      <c r="AT28" s="248"/>
      <c r="AU28" s="248"/>
      <c r="AV28" s="248"/>
      <c r="AW28" s="127">
        <f t="shared" si="11"/>
        <v>0.79800000000000004</v>
      </c>
      <c r="AX28" s="293">
        <v>0.5</v>
      </c>
      <c r="AY28" s="286"/>
      <c r="AZ28" s="292"/>
      <c r="BA28" s="129">
        <f t="shared" si="16"/>
        <v>1.298</v>
      </c>
      <c r="BB28" s="129">
        <f t="shared" si="15"/>
        <v>5.9000000000000004E-2</v>
      </c>
      <c r="BC28" s="54">
        <v>40</v>
      </c>
      <c r="BD28" s="54">
        <v>25</v>
      </c>
      <c r="BE28" s="61">
        <v>50</v>
      </c>
      <c r="BF28" s="61">
        <v>70</v>
      </c>
      <c r="BG28" s="54">
        <v>0</v>
      </c>
      <c r="BH28" s="61">
        <v>0</v>
      </c>
      <c r="BI28" s="31">
        <f t="shared" si="7"/>
        <v>65</v>
      </c>
      <c r="BJ28" s="31">
        <f t="shared" si="8"/>
        <v>120</v>
      </c>
      <c r="BK28" s="32">
        <f t="shared" si="9"/>
        <v>0</v>
      </c>
      <c r="BL28" s="362">
        <f t="shared" si="10"/>
        <v>185</v>
      </c>
      <c r="BM28" s="365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</row>
    <row r="29" spans="1:87" ht="13.5" customHeight="1">
      <c r="A29" s="319" t="s">
        <v>170</v>
      </c>
      <c r="B29" s="613" t="s">
        <v>171</v>
      </c>
      <c r="C29" s="72" t="s">
        <v>172</v>
      </c>
      <c r="D29" s="71" t="s">
        <v>112</v>
      </c>
      <c r="E29" s="71" t="s">
        <v>488</v>
      </c>
      <c r="F29" s="59" t="s">
        <v>119</v>
      </c>
      <c r="G29" s="46" t="s">
        <v>81</v>
      </c>
      <c r="H29" s="56" t="s">
        <v>109</v>
      </c>
      <c r="I29" s="72" t="s">
        <v>104</v>
      </c>
      <c r="J29" s="231">
        <v>19</v>
      </c>
      <c r="K29" s="219">
        <v>14</v>
      </c>
      <c r="L29" s="219">
        <v>5</v>
      </c>
      <c r="M29" s="219">
        <f>AC29+AD29+AE29+AF29+AG29+AH29</f>
        <v>0</v>
      </c>
      <c r="N29" s="172">
        <f t="shared" si="17"/>
        <v>14</v>
      </c>
      <c r="O29" s="332">
        <v>0</v>
      </c>
      <c r="P29" s="332">
        <v>4</v>
      </c>
      <c r="Q29" s="332">
        <v>8</v>
      </c>
      <c r="R29" s="332">
        <v>2</v>
      </c>
      <c r="S29" s="332">
        <v>0</v>
      </c>
      <c r="T29" s="332">
        <v>0</v>
      </c>
      <c r="U29" s="172">
        <f t="shared" si="1"/>
        <v>5</v>
      </c>
      <c r="V29" s="332">
        <v>0</v>
      </c>
      <c r="W29" s="332">
        <v>5</v>
      </c>
      <c r="X29" s="332">
        <v>0</v>
      </c>
      <c r="Y29" s="332">
        <v>0</v>
      </c>
      <c r="Z29" s="332">
        <v>0</v>
      </c>
      <c r="AA29" s="332">
        <v>0</v>
      </c>
      <c r="AB29" s="172">
        <f t="shared" si="2"/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45">
        <f>(L29+M29)/J29</f>
        <v>0.26315789473684209</v>
      </c>
      <c r="AJ29" s="345">
        <f t="shared" si="14"/>
        <v>0</v>
      </c>
      <c r="AK29" s="72" t="s">
        <v>83</v>
      </c>
      <c r="AL29" s="169" t="s">
        <v>109</v>
      </c>
      <c r="AM29" s="193" t="s">
        <v>104</v>
      </c>
      <c r="AN29" s="169" t="s">
        <v>109</v>
      </c>
      <c r="AO29" s="193" t="s">
        <v>97</v>
      </c>
      <c r="AP29" s="248"/>
      <c r="AQ29" s="249">
        <v>0.621</v>
      </c>
      <c r="AR29" s="248"/>
      <c r="AS29" s="248"/>
      <c r="AT29" s="248"/>
      <c r="AU29" s="248"/>
      <c r="AV29" s="248"/>
      <c r="AW29" s="127">
        <f t="shared" si="11"/>
        <v>0.621</v>
      </c>
      <c r="AX29" s="293">
        <v>0.5</v>
      </c>
      <c r="AY29" s="286"/>
      <c r="AZ29" s="279"/>
      <c r="BA29" s="129">
        <f t="shared" si="16"/>
        <v>1.121</v>
      </c>
      <c r="BB29" s="129">
        <f t="shared" si="15"/>
        <v>5.8999999999999997E-2</v>
      </c>
      <c r="BC29" s="40">
        <v>40</v>
      </c>
      <c r="BD29" s="40">
        <v>0</v>
      </c>
      <c r="BE29" s="40">
        <v>30</v>
      </c>
      <c r="BF29" s="40">
        <v>70</v>
      </c>
      <c r="BG29" s="40">
        <v>0</v>
      </c>
      <c r="BH29" s="40">
        <v>0</v>
      </c>
      <c r="BI29" s="31">
        <f t="shared" si="7"/>
        <v>40</v>
      </c>
      <c r="BJ29" s="31">
        <f t="shared" si="8"/>
        <v>100</v>
      </c>
      <c r="BK29" s="32">
        <f t="shared" si="9"/>
        <v>0</v>
      </c>
      <c r="BL29" s="362">
        <f t="shared" si="10"/>
        <v>140</v>
      </c>
      <c r="BM29" s="377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ht="13.5" customHeight="1">
      <c r="A30" s="318" t="s">
        <v>173</v>
      </c>
      <c r="B30" s="311" t="s">
        <v>174</v>
      </c>
      <c r="C30" s="78" t="s">
        <v>175</v>
      </c>
      <c r="D30" s="58" t="s">
        <v>69</v>
      </c>
      <c r="E30" s="58" t="s">
        <v>488</v>
      </c>
      <c r="F30" s="46" t="s">
        <v>70</v>
      </c>
      <c r="G30" s="46" t="s">
        <v>70</v>
      </c>
      <c r="H30" s="74" t="s">
        <v>109</v>
      </c>
      <c r="I30" s="73" t="s">
        <v>97</v>
      </c>
      <c r="J30" s="231">
        <v>48</v>
      </c>
      <c r="K30" s="216">
        <v>28</v>
      </c>
      <c r="L30" s="216">
        <v>18</v>
      </c>
      <c r="M30" s="216">
        <v>1</v>
      </c>
      <c r="N30" s="172">
        <f t="shared" si="17"/>
        <v>28</v>
      </c>
      <c r="O30" s="331"/>
      <c r="P30" s="331">
        <v>22</v>
      </c>
      <c r="Q30" s="331">
        <v>6</v>
      </c>
      <c r="R30" s="331"/>
      <c r="S30" s="331"/>
      <c r="T30" s="331"/>
      <c r="U30" s="172">
        <f t="shared" si="1"/>
        <v>18</v>
      </c>
      <c r="V30" s="332"/>
      <c r="W30" s="332">
        <v>13</v>
      </c>
      <c r="X30" s="332">
        <v>3</v>
      </c>
      <c r="Y30" s="332">
        <v>2</v>
      </c>
      <c r="Z30" s="332"/>
      <c r="AA30" s="332"/>
      <c r="AB30" s="172">
        <f t="shared" si="2"/>
        <v>2</v>
      </c>
      <c r="AC30" s="43"/>
      <c r="AD30" s="43">
        <v>1</v>
      </c>
      <c r="AE30" s="43">
        <v>1</v>
      </c>
      <c r="AF30" s="43"/>
      <c r="AG30" s="43"/>
      <c r="AH30" s="43"/>
      <c r="AI30" s="345">
        <f>(L30+M30)/J30</f>
        <v>0.39583333333333331</v>
      </c>
      <c r="AJ30" s="345">
        <f t="shared" si="14"/>
        <v>4.1666666666666664E-2</v>
      </c>
      <c r="AK30" s="46" t="s">
        <v>73</v>
      </c>
      <c r="AL30" s="173" t="s">
        <v>109</v>
      </c>
      <c r="AM30" s="263" t="s">
        <v>97</v>
      </c>
      <c r="AN30" s="173" t="s">
        <v>71</v>
      </c>
      <c r="AO30" s="208" t="s">
        <v>97</v>
      </c>
      <c r="AP30" s="244"/>
      <c r="AQ30" s="251">
        <v>0.3</v>
      </c>
      <c r="AR30" s="251">
        <v>2</v>
      </c>
      <c r="AS30" s="258">
        <v>1.444</v>
      </c>
      <c r="AT30" s="244"/>
      <c r="AU30" s="244"/>
      <c r="AV30" s="246"/>
      <c r="AW30" s="127">
        <f t="shared" si="11"/>
        <v>3.7439999999999998</v>
      </c>
      <c r="AX30" s="289"/>
      <c r="AY30" s="289"/>
      <c r="AZ30" s="292"/>
      <c r="BA30" s="129">
        <f t="shared" si="16"/>
        <v>3.7439999999999998</v>
      </c>
      <c r="BB30" s="129">
        <f t="shared" si="15"/>
        <v>7.8E-2</v>
      </c>
      <c r="BC30" s="61">
        <v>40</v>
      </c>
      <c r="BD30" s="54">
        <v>0</v>
      </c>
      <c r="BE30" s="61">
        <v>40</v>
      </c>
      <c r="BF30" s="61">
        <v>70</v>
      </c>
      <c r="BG30" s="65">
        <v>0</v>
      </c>
      <c r="BH30" s="61">
        <v>0</v>
      </c>
      <c r="BI30" s="31">
        <f t="shared" si="7"/>
        <v>40</v>
      </c>
      <c r="BJ30" s="31">
        <f t="shared" si="8"/>
        <v>110</v>
      </c>
      <c r="BK30" s="32">
        <f t="shared" si="9"/>
        <v>0</v>
      </c>
      <c r="BL30" s="362">
        <f t="shared" si="10"/>
        <v>150</v>
      </c>
      <c r="BM30" s="366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ht="13.5" customHeight="1">
      <c r="A31" s="318" t="s">
        <v>176</v>
      </c>
      <c r="B31" s="614" t="s">
        <v>177</v>
      </c>
      <c r="C31" s="78" t="s">
        <v>178</v>
      </c>
      <c r="D31" s="55" t="s">
        <v>102</v>
      </c>
      <c r="E31" s="58" t="s">
        <v>488</v>
      </c>
      <c r="F31" s="46" t="s">
        <v>119</v>
      </c>
      <c r="G31" s="46" t="s">
        <v>81</v>
      </c>
      <c r="H31" s="74" t="s">
        <v>89</v>
      </c>
      <c r="I31" s="73" t="s">
        <v>85</v>
      </c>
      <c r="J31" s="231">
        <v>0</v>
      </c>
      <c r="K31" s="216">
        <v>35</v>
      </c>
      <c r="L31" s="216">
        <v>13</v>
      </c>
      <c r="M31" s="216">
        <v>2</v>
      </c>
      <c r="N31" s="172">
        <f t="shared" si="17"/>
        <v>0</v>
      </c>
      <c r="O31" s="331"/>
      <c r="P31" s="331"/>
      <c r="Q31" s="331"/>
      <c r="R31" s="331"/>
      <c r="S31" s="331"/>
      <c r="T31" s="331"/>
      <c r="U31" s="172">
        <f t="shared" si="1"/>
        <v>0</v>
      </c>
      <c r="V31" s="332"/>
      <c r="W31" s="332"/>
      <c r="X31" s="332"/>
      <c r="Y31" s="332"/>
      <c r="Z31" s="332"/>
      <c r="AA31" s="332"/>
      <c r="AB31" s="172">
        <f t="shared" si="2"/>
        <v>0</v>
      </c>
      <c r="AC31" s="37"/>
      <c r="AD31" s="37"/>
      <c r="AE31" s="37"/>
      <c r="AF31" s="37"/>
      <c r="AG31" s="37"/>
      <c r="AH31" s="37"/>
      <c r="AI31" s="345">
        <v>0</v>
      </c>
      <c r="AJ31" s="345">
        <v>0</v>
      </c>
      <c r="AK31" s="46" t="s">
        <v>73</v>
      </c>
      <c r="AL31" s="173" t="s">
        <v>89</v>
      </c>
      <c r="AM31" s="173" t="s">
        <v>85</v>
      </c>
      <c r="AN31" s="173" t="s">
        <v>133</v>
      </c>
      <c r="AO31" s="208" t="s">
        <v>169</v>
      </c>
      <c r="AP31" s="248"/>
      <c r="AQ31" s="248"/>
      <c r="AR31" s="248"/>
      <c r="AS31" s="264"/>
      <c r="AT31" s="264"/>
      <c r="AU31" s="248">
        <v>1.45</v>
      </c>
      <c r="AV31" s="248">
        <v>1.4918499999999999</v>
      </c>
      <c r="AW31" s="127">
        <f t="shared" si="11"/>
        <v>2.9418499999999996</v>
      </c>
      <c r="AX31" s="286"/>
      <c r="AY31" s="286">
        <v>8.0000000000000002E-3</v>
      </c>
      <c r="AZ31" s="292"/>
      <c r="BA31" s="129">
        <f t="shared" si="16"/>
        <v>2.9498499999999996</v>
      </c>
      <c r="BB31" s="129">
        <f>BA31/48</f>
        <v>6.1455208333333324E-2</v>
      </c>
      <c r="BC31" s="54">
        <v>40</v>
      </c>
      <c r="BD31" s="54">
        <v>25</v>
      </c>
      <c r="BE31" s="61">
        <v>0</v>
      </c>
      <c r="BF31" s="61">
        <v>10</v>
      </c>
      <c r="BG31" s="54">
        <v>0</v>
      </c>
      <c r="BH31" s="61">
        <v>0</v>
      </c>
      <c r="BI31" s="31">
        <f t="shared" si="7"/>
        <v>65</v>
      </c>
      <c r="BJ31" s="31">
        <f t="shared" si="8"/>
        <v>10</v>
      </c>
      <c r="BK31" s="32">
        <f t="shared" si="9"/>
        <v>0</v>
      </c>
      <c r="BL31" s="362">
        <f t="shared" si="10"/>
        <v>75</v>
      </c>
      <c r="BM31" s="366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ht="13.5" customHeight="1">
      <c r="A32" s="318" t="s">
        <v>179</v>
      </c>
      <c r="B32" s="606" t="s">
        <v>180</v>
      </c>
      <c r="C32" s="66" t="s">
        <v>181</v>
      </c>
      <c r="D32" s="45" t="s">
        <v>102</v>
      </c>
      <c r="E32" s="45" t="s">
        <v>488</v>
      </c>
      <c r="F32" s="48" t="s">
        <v>81</v>
      </c>
      <c r="G32" s="48" t="s">
        <v>81</v>
      </c>
      <c r="H32" s="52" t="s">
        <v>71</v>
      </c>
      <c r="I32" s="79" t="s">
        <v>104</v>
      </c>
      <c r="J32" s="231">
        <v>4</v>
      </c>
      <c r="K32" s="216">
        <v>0</v>
      </c>
      <c r="L32" s="216">
        <v>0</v>
      </c>
      <c r="M32" s="216">
        <v>4</v>
      </c>
      <c r="N32" s="172">
        <f t="shared" si="17"/>
        <v>0</v>
      </c>
      <c r="O32" s="331">
        <v>0</v>
      </c>
      <c r="P32" s="331">
        <v>0</v>
      </c>
      <c r="Q32" s="331">
        <v>0</v>
      </c>
      <c r="R32" s="331">
        <v>0</v>
      </c>
      <c r="S32" s="331">
        <v>0</v>
      </c>
      <c r="T32" s="331">
        <v>0</v>
      </c>
      <c r="U32" s="172">
        <f t="shared" si="1"/>
        <v>0</v>
      </c>
      <c r="V32" s="332">
        <v>0</v>
      </c>
      <c r="W32" s="332">
        <v>0</v>
      </c>
      <c r="X32" s="332">
        <v>0</v>
      </c>
      <c r="Y32" s="332">
        <v>0</v>
      </c>
      <c r="Z32" s="332">
        <v>0</v>
      </c>
      <c r="AA32" s="332">
        <v>0</v>
      </c>
      <c r="AB32" s="172">
        <f t="shared" si="2"/>
        <v>4</v>
      </c>
      <c r="AC32" s="43">
        <v>0</v>
      </c>
      <c r="AD32" s="43">
        <v>4</v>
      </c>
      <c r="AE32" s="43">
        <v>0</v>
      </c>
      <c r="AF32" s="43">
        <v>0</v>
      </c>
      <c r="AG32" s="43">
        <v>0</v>
      </c>
      <c r="AH32" s="43">
        <v>0</v>
      </c>
      <c r="AI32" s="345">
        <f>(U32+AB32)/J32</f>
        <v>1</v>
      </c>
      <c r="AJ32" s="345">
        <f>AB32/J32</f>
        <v>1</v>
      </c>
      <c r="AK32" s="46" t="s">
        <v>73</v>
      </c>
      <c r="AL32" s="185" t="s">
        <v>71</v>
      </c>
      <c r="AM32" s="201" t="s">
        <v>104</v>
      </c>
      <c r="AN32" s="185" t="s">
        <v>71</v>
      </c>
      <c r="AO32" s="243" t="s">
        <v>169</v>
      </c>
      <c r="AP32" s="248"/>
      <c r="AQ32" s="248"/>
      <c r="AR32" s="248">
        <v>0.23599999999999999</v>
      </c>
      <c r="AS32" s="248"/>
      <c r="AT32" s="248"/>
      <c r="AU32" s="248"/>
      <c r="AV32" s="248"/>
      <c r="AW32" s="127">
        <f t="shared" si="11"/>
        <v>0.23599999999999999</v>
      </c>
      <c r="AX32" s="286"/>
      <c r="AY32" s="286"/>
      <c r="AZ32" s="292"/>
      <c r="BA32" s="129">
        <f t="shared" si="16"/>
        <v>0.23599999999999999</v>
      </c>
      <c r="BB32" s="129">
        <f>BA32/J32</f>
        <v>5.8999999999999997E-2</v>
      </c>
      <c r="BC32" s="54">
        <v>40</v>
      </c>
      <c r="BD32" s="54">
        <v>25</v>
      </c>
      <c r="BE32" s="61">
        <v>50</v>
      </c>
      <c r="BF32" s="61">
        <v>30</v>
      </c>
      <c r="BG32" s="54">
        <v>0</v>
      </c>
      <c r="BH32" s="61">
        <v>0</v>
      </c>
      <c r="BI32" s="31">
        <f t="shared" si="7"/>
        <v>65</v>
      </c>
      <c r="BJ32" s="31">
        <f t="shared" si="8"/>
        <v>80</v>
      </c>
      <c r="BK32" s="32">
        <f t="shared" si="9"/>
        <v>0</v>
      </c>
      <c r="BL32" s="362">
        <f t="shared" si="10"/>
        <v>145</v>
      </c>
      <c r="BM32" s="366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ht="13.5" customHeight="1">
      <c r="A33" s="320" t="s">
        <v>195</v>
      </c>
      <c r="B33" s="615" t="s">
        <v>504</v>
      </c>
      <c r="C33" s="23" t="s">
        <v>183</v>
      </c>
      <c r="D33" s="45" t="s">
        <v>95</v>
      </c>
      <c r="E33" s="62" t="s">
        <v>490</v>
      </c>
      <c r="F33" s="192" t="s">
        <v>81</v>
      </c>
      <c r="G33" s="192" t="s">
        <v>81</v>
      </c>
      <c r="H33" s="170" t="s">
        <v>109</v>
      </c>
      <c r="I33" s="196" t="s">
        <v>115</v>
      </c>
      <c r="J33" s="231">
        <v>13</v>
      </c>
      <c r="K33" s="216">
        <v>9</v>
      </c>
      <c r="L33" s="216">
        <v>3</v>
      </c>
      <c r="M33" s="216">
        <v>1</v>
      </c>
      <c r="N33" s="172">
        <f t="shared" si="17"/>
        <v>9</v>
      </c>
      <c r="O33" s="331">
        <v>0</v>
      </c>
      <c r="P33" s="331">
        <v>4</v>
      </c>
      <c r="Q33" s="331">
        <v>4</v>
      </c>
      <c r="R33" s="331">
        <v>1</v>
      </c>
      <c r="S33" s="331">
        <v>0</v>
      </c>
      <c r="T33" s="331">
        <v>0</v>
      </c>
      <c r="U33" s="172">
        <f t="shared" si="1"/>
        <v>3</v>
      </c>
      <c r="V33" s="331">
        <v>0</v>
      </c>
      <c r="W33" s="331">
        <v>3</v>
      </c>
      <c r="X33" s="331">
        <v>0</v>
      </c>
      <c r="Y33" s="331">
        <v>0</v>
      </c>
      <c r="Z33" s="331">
        <v>0</v>
      </c>
      <c r="AA33" s="331">
        <v>0</v>
      </c>
      <c r="AB33" s="172">
        <f t="shared" si="2"/>
        <v>1</v>
      </c>
      <c r="AC33" s="26">
        <v>0</v>
      </c>
      <c r="AD33" s="26">
        <v>1</v>
      </c>
      <c r="AE33" s="26">
        <v>0</v>
      </c>
      <c r="AF33" s="26">
        <v>0</v>
      </c>
      <c r="AG33" s="26">
        <v>0</v>
      </c>
      <c r="AH33" s="26">
        <v>0</v>
      </c>
      <c r="AI33" s="345">
        <f>(L33+M33)/J33</f>
        <v>0.30769230769230771</v>
      </c>
      <c r="AJ33" s="345">
        <f>AB33/J33</f>
        <v>7.6923076923076927E-2</v>
      </c>
      <c r="AK33" s="42" t="s">
        <v>83</v>
      </c>
      <c r="AL33" s="169" t="s">
        <v>109</v>
      </c>
      <c r="AM33" s="266" t="s">
        <v>169</v>
      </c>
      <c r="AN33" s="169" t="s">
        <v>71</v>
      </c>
      <c r="AO33" s="266" t="s">
        <v>115</v>
      </c>
      <c r="AP33" s="273">
        <v>0.3</v>
      </c>
      <c r="AQ33" s="273">
        <v>0.46700000000000003</v>
      </c>
      <c r="AR33" s="248"/>
      <c r="AS33" s="248"/>
      <c r="AT33" s="248"/>
      <c r="AU33" s="248"/>
      <c r="AV33" s="248"/>
      <c r="AW33" s="127">
        <f t="shared" si="11"/>
        <v>0.76700000000000002</v>
      </c>
      <c r="AX33" s="286"/>
      <c r="AY33" s="286"/>
      <c r="AZ33" s="294"/>
      <c r="BA33" s="129">
        <f t="shared" si="16"/>
        <v>0.76700000000000002</v>
      </c>
      <c r="BB33" s="129">
        <f>BA33/J33</f>
        <v>5.9000000000000004E-2</v>
      </c>
      <c r="BC33" s="61">
        <v>20</v>
      </c>
      <c r="BD33" s="54">
        <v>15</v>
      </c>
      <c r="BE33" s="30">
        <v>50</v>
      </c>
      <c r="BF33" s="30">
        <v>30</v>
      </c>
      <c r="BG33" s="40">
        <v>0</v>
      </c>
      <c r="BH33" s="30">
        <v>0</v>
      </c>
      <c r="BI33" s="31">
        <f t="shared" si="7"/>
        <v>35</v>
      </c>
      <c r="BJ33" s="31">
        <f t="shared" si="8"/>
        <v>80</v>
      </c>
      <c r="BK33" s="32">
        <f t="shared" si="9"/>
        <v>0</v>
      </c>
      <c r="BL33" s="362">
        <f t="shared" si="10"/>
        <v>115</v>
      </c>
      <c r="BM33" s="365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ht="13.5" customHeight="1">
      <c r="A34" s="324" t="s">
        <v>186</v>
      </c>
      <c r="B34" s="311" t="s">
        <v>187</v>
      </c>
      <c r="C34" s="78" t="s">
        <v>183</v>
      </c>
      <c r="D34" s="58" t="s">
        <v>95</v>
      </c>
      <c r="E34" s="62" t="s">
        <v>490</v>
      </c>
      <c r="F34" s="173" t="s">
        <v>70</v>
      </c>
      <c r="G34" s="173" t="s">
        <v>70</v>
      </c>
      <c r="H34" s="189" t="s">
        <v>89</v>
      </c>
      <c r="I34" s="190" t="s">
        <v>104</v>
      </c>
      <c r="J34" s="231">
        <v>0</v>
      </c>
      <c r="K34" s="216">
        <v>17</v>
      </c>
      <c r="L34" s="216">
        <v>8</v>
      </c>
      <c r="M34" s="226">
        <v>0</v>
      </c>
      <c r="N34" s="172">
        <f t="shared" si="17"/>
        <v>0</v>
      </c>
      <c r="O34" s="290"/>
      <c r="P34" s="290"/>
      <c r="Q34" s="290"/>
      <c r="R34" s="290"/>
      <c r="S34" s="290"/>
      <c r="T34" s="290"/>
      <c r="U34" s="172">
        <f t="shared" si="1"/>
        <v>0</v>
      </c>
      <c r="V34" s="290"/>
      <c r="W34" s="290"/>
      <c r="X34" s="290"/>
      <c r="Y34" s="290"/>
      <c r="Z34" s="290"/>
      <c r="AA34" s="290"/>
      <c r="AB34" s="172">
        <f t="shared" si="2"/>
        <v>0</v>
      </c>
      <c r="AC34" s="69"/>
      <c r="AD34" s="69"/>
      <c r="AE34" s="69"/>
      <c r="AF34" s="69"/>
      <c r="AG34" s="69"/>
      <c r="AH34" s="69"/>
      <c r="AI34" s="345">
        <v>0</v>
      </c>
      <c r="AJ34" s="345">
        <v>0</v>
      </c>
      <c r="AK34" s="46" t="s">
        <v>73</v>
      </c>
      <c r="AL34" s="187" t="s">
        <v>89</v>
      </c>
      <c r="AM34" s="173" t="s">
        <v>104</v>
      </c>
      <c r="AN34" s="187" t="s">
        <v>133</v>
      </c>
      <c r="AO34" s="173" t="s">
        <v>97</v>
      </c>
      <c r="AP34" s="244"/>
      <c r="AQ34" s="356"/>
      <c r="AR34" s="245"/>
      <c r="AS34" s="244"/>
      <c r="AT34" s="244"/>
      <c r="AU34" s="258">
        <v>2</v>
      </c>
      <c r="AV34" s="246"/>
      <c r="AW34" s="127">
        <f t="shared" si="11"/>
        <v>2</v>
      </c>
      <c r="AX34" s="290"/>
      <c r="AY34" s="290"/>
      <c r="AZ34" s="291"/>
      <c r="BA34" s="129">
        <f t="shared" si="16"/>
        <v>2</v>
      </c>
      <c r="BB34" s="129">
        <f>BA34/17</f>
        <v>0.11764705882352941</v>
      </c>
      <c r="BC34" s="61">
        <v>20</v>
      </c>
      <c r="BD34" s="54">
        <v>15</v>
      </c>
      <c r="BE34" s="61">
        <v>10</v>
      </c>
      <c r="BF34" s="61">
        <v>30</v>
      </c>
      <c r="BG34" s="54">
        <v>0</v>
      </c>
      <c r="BH34" s="61">
        <v>0</v>
      </c>
      <c r="BI34" s="31">
        <f t="shared" si="7"/>
        <v>35</v>
      </c>
      <c r="BJ34" s="31">
        <f t="shared" si="8"/>
        <v>40</v>
      </c>
      <c r="BK34" s="32">
        <f t="shared" si="9"/>
        <v>0</v>
      </c>
      <c r="BL34" s="362">
        <f t="shared" si="10"/>
        <v>75</v>
      </c>
      <c r="BM34" s="465" t="s">
        <v>493</v>
      </c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ht="13.5" customHeight="1">
      <c r="A35" s="318" t="s">
        <v>188</v>
      </c>
      <c r="B35" s="311" t="s">
        <v>189</v>
      </c>
      <c r="C35" s="78" t="s">
        <v>183</v>
      </c>
      <c r="D35" s="58" t="s">
        <v>95</v>
      </c>
      <c r="E35" s="62" t="s">
        <v>490</v>
      </c>
      <c r="F35" s="173" t="s">
        <v>70</v>
      </c>
      <c r="G35" s="173" t="s">
        <v>135</v>
      </c>
      <c r="H35" s="189" t="s">
        <v>89</v>
      </c>
      <c r="I35" s="190" t="s">
        <v>104</v>
      </c>
      <c r="J35" s="231">
        <v>0</v>
      </c>
      <c r="K35" s="216">
        <v>6</v>
      </c>
      <c r="L35" s="216">
        <v>0</v>
      </c>
      <c r="M35" s="216">
        <v>0</v>
      </c>
      <c r="N35" s="172">
        <f t="shared" si="17"/>
        <v>0</v>
      </c>
      <c r="O35" s="331"/>
      <c r="P35" s="331"/>
      <c r="Q35" s="331"/>
      <c r="R35" s="331"/>
      <c r="S35" s="331"/>
      <c r="T35" s="331"/>
      <c r="U35" s="172">
        <f t="shared" si="1"/>
        <v>0</v>
      </c>
      <c r="V35" s="331"/>
      <c r="W35" s="331"/>
      <c r="X35" s="331"/>
      <c r="Y35" s="331"/>
      <c r="Z35" s="331"/>
      <c r="AA35" s="331"/>
      <c r="AB35" s="172">
        <f t="shared" si="2"/>
        <v>0</v>
      </c>
      <c r="AC35" s="26"/>
      <c r="AD35" s="26"/>
      <c r="AE35" s="26"/>
      <c r="AF35" s="26"/>
      <c r="AG35" s="26"/>
      <c r="AH35" s="26"/>
      <c r="AI35" s="345">
        <v>0</v>
      </c>
      <c r="AJ35" s="345">
        <v>0</v>
      </c>
      <c r="AK35" s="46" t="s">
        <v>136</v>
      </c>
      <c r="AL35" s="187" t="s">
        <v>89</v>
      </c>
      <c r="AM35" s="173" t="s">
        <v>104</v>
      </c>
      <c r="AN35" s="187" t="s">
        <v>133</v>
      </c>
      <c r="AO35" s="208" t="s">
        <v>97</v>
      </c>
      <c r="AP35" s="244"/>
      <c r="AQ35" s="244"/>
      <c r="AR35" s="258"/>
      <c r="AS35" s="244"/>
      <c r="AT35" s="244"/>
      <c r="AU35" s="258">
        <v>0.29399999999999998</v>
      </c>
      <c r="AV35" s="246"/>
      <c r="AW35" s="127">
        <f t="shared" si="11"/>
        <v>0.29399999999999998</v>
      </c>
      <c r="AX35" s="289"/>
      <c r="AY35" s="289"/>
      <c r="AZ35" s="292"/>
      <c r="BA35" s="129">
        <f t="shared" si="16"/>
        <v>0.29399999999999998</v>
      </c>
      <c r="BB35" s="129">
        <f>BA35/6</f>
        <v>4.8999999999999995E-2</v>
      </c>
      <c r="BC35" s="61">
        <v>20</v>
      </c>
      <c r="BD35" s="54">
        <v>15</v>
      </c>
      <c r="BE35" s="61">
        <v>10</v>
      </c>
      <c r="BF35" s="61">
        <v>30</v>
      </c>
      <c r="BG35" s="53">
        <v>0</v>
      </c>
      <c r="BH35" s="61">
        <v>0</v>
      </c>
      <c r="BI35" s="31">
        <f t="shared" si="7"/>
        <v>35</v>
      </c>
      <c r="BJ35" s="31">
        <f t="shared" si="8"/>
        <v>40</v>
      </c>
      <c r="BK35" s="32">
        <f t="shared" si="9"/>
        <v>0</v>
      </c>
      <c r="BL35" s="362">
        <f t="shared" si="10"/>
        <v>75</v>
      </c>
      <c r="BM35" s="465" t="s">
        <v>494</v>
      </c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s="511" customFormat="1" ht="13.5" customHeight="1">
      <c r="A36" s="513" t="s">
        <v>506</v>
      </c>
      <c r="B36" s="616" t="s">
        <v>503</v>
      </c>
      <c r="C36" s="512" t="s">
        <v>183</v>
      </c>
      <c r="D36" s="514" t="s">
        <v>95</v>
      </c>
      <c r="E36" s="514" t="s">
        <v>490</v>
      </c>
      <c r="F36" s="491" t="s">
        <v>81</v>
      </c>
      <c r="G36" s="491" t="s">
        <v>81</v>
      </c>
      <c r="H36" s="515" t="s">
        <v>71</v>
      </c>
      <c r="I36" s="516" t="s">
        <v>110</v>
      </c>
      <c r="J36" s="231">
        <v>12</v>
      </c>
      <c r="K36" s="226">
        <v>0</v>
      </c>
      <c r="L36" s="226">
        <v>12</v>
      </c>
      <c r="M36" s="226">
        <v>0</v>
      </c>
      <c r="N36" s="494">
        <f t="shared" si="17"/>
        <v>0</v>
      </c>
      <c r="O36" s="290">
        <v>0</v>
      </c>
      <c r="P36" s="290">
        <v>0</v>
      </c>
      <c r="Q36" s="290">
        <v>0</v>
      </c>
      <c r="R36" s="290">
        <v>0</v>
      </c>
      <c r="S36" s="290">
        <v>0</v>
      </c>
      <c r="T36" s="290">
        <v>0</v>
      </c>
      <c r="U36" s="494">
        <f t="shared" si="1"/>
        <v>12</v>
      </c>
      <c r="V36" s="290">
        <v>12</v>
      </c>
      <c r="W36" s="290">
        <v>0</v>
      </c>
      <c r="X36" s="290">
        <v>0</v>
      </c>
      <c r="Y36" s="290">
        <v>0</v>
      </c>
      <c r="Z36" s="290">
        <v>0</v>
      </c>
      <c r="AA36" s="290">
        <v>0</v>
      </c>
      <c r="AB36" s="494">
        <f t="shared" si="2"/>
        <v>0</v>
      </c>
      <c r="AC36" s="69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345">
        <f>(U36+AB36)/J36</f>
        <v>1</v>
      </c>
      <c r="AJ36" s="345">
        <f t="shared" ref="AJ36:AJ46" si="18">AB36/J36</f>
        <v>0</v>
      </c>
      <c r="AK36" s="491" t="s">
        <v>73</v>
      </c>
      <c r="AL36" s="495" t="s">
        <v>71</v>
      </c>
      <c r="AM36" s="493" t="s">
        <v>110</v>
      </c>
      <c r="AN36" s="495" t="s">
        <v>75</v>
      </c>
      <c r="AO36" s="517" t="s">
        <v>96</v>
      </c>
      <c r="AP36" s="496"/>
      <c r="AQ36" s="496"/>
      <c r="AR36" s="496">
        <v>0.46700000000000003</v>
      </c>
      <c r="AS36" s="496">
        <v>0.44800000000000001</v>
      </c>
      <c r="AT36" s="496"/>
      <c r="AU36" s="496"/>
      <c r="AV36" s="496"/>
      <c r="AW36" s="127">
        <f t="shared" si="11"/>
        <v>0.91500000000000004</v>
      </c>
      <c r="AX36" s="518"/>
      <c r="AY36" s="518">
        <v>3.3000000000000002E-2</v>
      </c>
      <c r="AZ36" s="519"/>
      <c r="BA36" s="129">
        <f t="shared" si="16"/>
        <v>0.94800000000000006</v>
      </c>
      <c r="BB36" s="129">
        <f t="shared" ref="BB36:BB46" si="19">BA36/J36</f>
        <v>7.9000000000000001E-2</v>
      </c>
      <c r="BC36" s="505">
        <v>20</v>
      </c>
      <c r="BD36" s="504">
        <v>15</v>
      </c>
      <c r="BE36" s="505">
        <v>50</v>
      </c>
      <c r="BF36" s="505">
        <v>30</v>
      </c>
      <c r="BG36" s="504">
        <v>20</v>
      </c>
      <c r="BH36" s="505">
        <v>20</v>
      </c>
      <c r="BI36" s="506">
        <f t="shared" si="7"/>
        <v>35</v>
      </c>
      <c r="BJ36" s="506">
        <f t="shared" si="8"/>
        <v>80</v>
      </c>
      <c r="BK36" s="507">
        <f t="shared" si="9"/>
        <v>40</v>
      </c>
      <c r="BL36" s="508">
        <f t="shared" si="10"/>
        <v>155</v>
      </c>
      <c r="BM36" s="520"/>
      <c r="BN36" s="510"/>
      <c r="BO36" s="510"/>
      <c r="BP36" s="510"/>
      <c r="BQ36" s="510"/>
      <c r="BR36" s="510"/>
      <c r="BS36" s="510"/>
      <c r="BT36" s="510"/>
      <c r="BU36" s="510"/>
      <c r="BV36" s="510"/>
      <c r="BW36" s="510"/>
      <c r="BX36" s="510"/>
      <c r="BY36" s="510"/>
      <c r="BZ36" s="510"/>
      <c r="CA36" s="510"/>
      <c r="CB36" s="510"/>
      <c r="CC36" s="510"/>
      <c r="CD36" s="510"/>
      <c r="CE36" s="510"/>
      <c r="CF36" s="510"/>
      <c r="CG36" s="510"/>
      <c r="CH36" s="510"/>
      <c r="CI36" s="510"/>
    </row>
    <row r="37" spans="1:87" ht="13.5" customHeight="1">
      <c r="A37" s="318" t="s">
        <v>192</v>
      </c>
      <c r="B37" s="311" t="s">
        <v>193</v>
      </c>
      <c r="C37" s="78" t="s">
        <v>183</v>
      </c>
      <c r="D37" s="58" t="s">
        <v>95</v>
      </c>
      <c r="E37" s="62" t="s">
        <v>490</v>
      </c>
      <c r="F37" s="173" t="s">
        <v>70</v>
      </c>
      <c r="G37" s="173" t="s">
        <v>135</v>
      </c>
      <c r="H37" s="170" t="s">
        <v>75</v>
      </c>
      <c r="I37" s="190" t="s">
        <v>85</v>
      </c>
      <c r="J37" s="231">
        <v>12</v>
      </c>
      <c r="K37" s="216">
        <v>6</v>
      </c>
      <c r="L37" s="216">
        <v>6</v>
      </c>
      <c r="M37" s="216">
        <v>0</v>
      </c>
      <c r="N37" s="172">
        <f t="shared" si="17"/>
        <v>12</v>
      </c>
      <c r="O37" s="331"/>
      <c r="P37" s="331">
        <v>6</v>
      </c>
      <c r="Q37" s="331">
        <v>6</v>
      </c>
      <c r="R37" s="331"/>
      <c r="S37" s="331"/>
      <c r="T37" s="331"/>
      <c r="U37" s="172">
        <f t="shared" si="1"/>
        <v>0</v>
      </c>
      <c r="V37" s="331"/>
      <c r="W37" s="331"/>
      <c r="X37" s="331"/>
      <c r="Y37" s="331"/>
      <c r="Z37" s="331"/>
      <c r="AA37" s="331"/>
      <c r="AB37" s="172">
        <f t="shared" si="2"/>
        <v>0</v>
      </c>
      <c r="AC37" s="26"/>
      <c r="AD37" s="26"/>
      <c r="AE37" s="26"/>
      <c r="AF37" s="26"/>
      <c r="AG37" s="26"/>
      <c r="AH37" s="26"/>
      <c r="AI37" s="345">
        <f>(L37+M37)/J37</f>
        <v>0.5</v>
      </c>
      <c r="AJ37" s="345">
        <f t="shared" si="18"/>
        <v>0</v>
      </c>
      <c r="AK37" s="46" t="s">
        <v>136</v>
      </c>
      <c r="AL37" s="169" t="s">
        <v>75</v>
      </c>
      <c r="AM37" s="173" t="s">
        <v>85</v>
      </c>
      <c r="AN37" s="169" t="s">
        <v>84</v>
      </c>
      <c r="AO37" s="208" t="s">
        <v>125</v>
      </c>
      <c r="AP37" s="244"/>
      <c r="AQ37" s="244"/>
      <c r="AR37" s="244"/>
      <c r="AS37" s="248">
        <v>0.56399999999999995</v>
      </c>
      <c r="AT37" s="244"/>
      <c r="AU37" s="244"/>
      <c r="AV37" s="246"/>
      <c r="AW37" s="127">
        <f t="shared" si="11"/>
        <v>0.56399999999999995</v>
      </c>
      <c r="AX37" s="289"/>
      <c r="AY37" s="289"/>
      <c r="AZ37" s="292"/>
      <c r="BA37" s="129">
        <f t="shared" si="16"/>
        <v>0.56399999999999995</v>
      </c>
      <c r="BB37" s="129">
        <f t="shared" si="19"/>
        <v>4.6999999999999993E-2</v>
      </c>
      <c r="BC37" s="61">
        <v>20</v>
      </c>
      <c r="BD37" s="54">
        <v>15</v>
      </c>
      <c r="BE37" s="61">
        <v>10</v>
      </c>
      <c r="BF37" s="61">
        <v>30</v>
      </c>
      <c r="BG37" s="65">
        <v>0</v>
      </c>
      <c r="BH37" s="61">
        <v>0</v>
      </c>
      <c r="BI37" s="85">
        <f t="shared" si="7"/>
        <v>35</v>
      </c>
      <c r="BJ37" s="85">
        <f t="shared" si="8"/>
        <v>40</v>
      </c>
      <c r="BK37" s="32">
        <f t="shared" si="9"/>
        <v>0</v>
      </c>
      <c r="BL37" s="362">
        <f t="shared" si="10"/>
        <v>75</v>
      </c>
      <c r="BM37" s="366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ht="13.5" customHeight="1">
      <c r="A38" s="318" t="s">
        <v>190</v>
      </c>
      <c r="B38" s="311" t="s">
        <v>191</v>
      </c>
      <c r="C38" s="78" t="s">
        <v>183</v>
      </c>
      <c r="D38" s="58" t="s">
        <v>95</v>
      </c>
      <c r="E38" s="62" t="s">
        <v>490</v>
      </c>
      <c r="F38" s="173" t="s">
        <v>70</v>
      </c>
      <c r="G38" s="173" t="s">
        <v>70</v>
      </c>
      <c r="H38" s="170" t="s">
        <v>75</v>
      </c>
      <c r="I38" s="190" t="s">
        <v>85</v>
      </c>
      <c r="J38" s="231">
        <v>38</v>
      </c>
      <c r="K38" s="216">
        <v>25</v>
      </c>
      <c r="L38" s="216">
        <v>13</v>
      </c>
      <c r="M38" s="216">
        <v>0</v>
      </c>
      <c r="N38" s="172">
        <f t="shared" si="17"/>
        <v>25</v>
      </c>
      <c r="O38" s="331"/>
      <c r="P38" s="331">
        <v>19</v>
      </c>
      <c r="Q38" s="331">
        <v>6</v>
      </c>
      <c r="R38" s="331"/>
      <c r="S38" s="331"/>
      <c r="T38" s="331"/>
      <c r="U38" s="172">
        <f t="shared" si="1"/>
        <v>13</v>
      </c>
      <c r="V38" s="331"/>
      <c r="W38" s="331">
        <v>8</v>
      </c>
      <c r="X38" s="331">
        <v>3</v>
      </c>
      <c r="Y38" s="331">
        <v>2</v>
      </c>
      <c r="Z38" s="331"/>
      <c r="AA38" s="331"/>
      <c r="AB38" s="172">
        <f t="shared" si="2"/>
        <v>0</v>
      </c>
      <c r="AC38" s="26"/>
      <c r="AD38" s="26"/>
      <c r="AE38" s="26"/>
      <c r="AF38" s="26"/>
      <c r="AG38" s="26"/>
      <c r="AH38" s="26"/>
      <c r="AI38" s="345">
        <f>(L38+M38)/J38</f>
        <v>0.34210526315789475</v>
      </c>
      <c r="AJ38" s="345">
        <f t="shared" si="18"/>
        <v>0</v>
      </c>
      <c r="AK38" s="46" t="s">
        <v>73</v>
      </c>
      <c r="AL38" s="169" t="s">
        <v>75</v>
      </c>
      <c r="AM38" s="173" t="s">
        <v>85</v>
      </c>
      <c r="AN38" s="169" t="s">
        <v>84</v>
      </c>
      <c r="AO38" s="208" t="s">
        <v>125</v>
      </c>
      <c r="AP38" s="244"/>
      <c r="AQ38" s="244"/>
      <c r="AR38" s="259"/>
      <c r="AS38" s="248">
        <v>3</v>
      </c>
      <c r="AT38" s="244"/>
      <c r="AU38" s="259"/>
      <c r="AV38" s="246"/>
      <c r="AW38" s="127">
        <f t="shared" si="11"/>
        <v>3</v>
      </c>
      <c r="AX38" s="289"/>
      <c r="AY38" s="289"/>
      <c r="AZ38" s="292"/>
      <c r="BA38" s="129">
        <f t="shared" si="16"/>
        <v>3</v>
      </c>
      <c r="BB38" s="129">
        <f t="shared" si="19"/>
        <v>7.8947368421052627E-2</v>
      </c>
      <c r="BC38" s="61">
        <v>20</v>
      </c>
      <c r="BD38" s="54">
        <v>15</v>
      </c>
      <c r="BE38" s="61">
        <v>10</v>
      </c>
      <c r="BF38" s="61">
        <v>30</v>
      </c>
      <c r="BG38" s="65">
        <v>0</v>
      </c>
      <c r="BH38" s="61">
        <v>0</v>
      </c>
      <c r="BI38" s="31">
        <f t="shared" si="7"/>
        <v>35</v>
      </c>
      <c r="BJ38" s="31">
        <f t="shared" si="8"/>
        <v>40</v>
      </c>
      <c r="BK38" s="32">
        <f t="shared" si="9"/>
        <v>0</v>
      </c>
      <c r="BL38" s="362">
        <f t="shared" si="10"/>
        <v>75</v>
      </c>
      <c r="BM38" s="366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ht="13.5" customHeight="1">
      <c r="A39" s="318" t="s">
        <v>184</v>
      </c>
      <c r="B39" s="311" t="s">
        <v>185</v>
      </c>
      <c r="C39" s="78" t="s">
        <v>183</v>
      </c>
      <c r="D39" s="58" t="s">
        <v>95</v>
      </c>
      <c r="E39" s="62" t="s">
        <v>490</v>
      </c>
      <c r="F39" s="173" t="s">
        <v>70</v>
      </c>
      <c r="G39" s="173" t="s">
        <v>70</v>
      </c>
      <c r="H39" s="170" t="s">
        <v>109</v>
      </c>
      <c r="I39" s="188" t="s">
        <v>104</v>
      </c>
      <c r="J39" s="231">
        <v>13</v>
      </c>
      <c r="K39" s="216">
        <v>8</v>
      </c>
      <c r="L39" s="216">
        <v>4</v>
      </c>
      <c r="M39" s="216">
        <v>0</v>
      </c>
      <c r="N39" s="172">
        <f t="shared" si="17"/>
        <v>8</v>
      </c>
      <c r="O39" s="331"/>
      <c r="P39" s="331">
        <v>8</v>
      </c>
      <c r="Q39" s="331"/>
      <c r="R39" s="331"/>
      <c r="S39" s="331"/>
      <c r="T39" s="331"/>
      <c r="U39" s="172">
        <f t="shared" ref="U39:U67" si="20">SUM(V39:AA39)</f>
        <v>4</v>
      </c>
      <c r="V39" s="331"/>
      <c r="W39" s="331">
        <v>4</v>
      </c>
      <c r="X39" s="331"/>
      <c r="Y39" s="331"/>
      <c r="Z39" s="331"/>
      <c r="AA39" s="331"/>
      <c r="AB39" s="172">
        <f t="shared" ref="AB39:AB67" si="21">SUM(AC39:AH39)</f>
        <v>1</v>
      </c>
      <c r="AC39" s="26"/>
      <c r="AD39" s="26">
        <v>1</v>
      </c>
      <c r="AE39" s="26"/>
      <c r="AF39" s="26"/>
      <c r="AG39" s="26"/>
      <c r="AH39" s="26"/>
      <c r="AI39" s="345">
        <f>(L39+M39)/J39</f>
        <v>0.30769230769230771</v>
      </c>
      <c r="AJ39" s="345">
        <f t="shared" si="18"/>
        <v>7.6923076923076927E-2</v>
      </c>
      <c r="AK39" s="46" t="s">
        <v>73</v>
      </c>
      <c r="AL39" s="170" t="s">
        <v>109</v>
      </c>
      <c r="AM39" s="169" t="s">
        <v>104</v>
      </c>
      <c r="AN39" s="169" t="s">
        <v>109</v>
      </c>
      <c r="AO39" s="208" t="s">
        <v>97</v>
      </c>
      <c r="AP39" s="244"/>
      <c r="AQ39" s="249">
        <v>1.014</v>
      </c>
      <c r="AR39" s="258"/>
      <c r="AS39" s="244"/>
      <c r="AT39" s="244"/>
      <c r="AU39" s="244"/>
      <c r="AV39" s="246"/>
      <c r="AW39" s="127">
        <f t="shared" si="11"/>
        <v>1.014</v>
      </c>
      <c r="AX39" s="289"/>
      <c r="AY39" s="289"/>
      <c r="AZ39" s="292"/>
      <c r="BA39" s="129">
        <f t="shared" si="16"/>
        <v>1.014</v>
      </c>
      <c r="BB39" s="129">
        <f t="shared" si="19"/>
        <v>7.8E-2</v>
      </c>
      <c r="BC39" s="61">
        <v>20</v>
      </c>
      <c r="BD39" s="54">
        <v>15</v>
      </c>
      <c r="BE39" s="61">
        <v>40</v>
      </c>
      <c r="BF39" s="61">
        <v>70</v>
      </c>
      <c r="BG39" s="65">
        <v>0</v>
      </c>
      <c r="BH39" s="61">
        <v>0</v>
      </c>
      <c r="BI39" s="31">
        <f t="shared" ref="BI39:BI70" si="22">BC39+BD39</f>
        <v>35</v>
      </c>
      <c r="BJ39" s="31">
        <f t="shared" ref="BJ39:BJ70" si="23">BE39+BF39</f>
        <v>110</v>
      </c>
      <c r="BK39" s="32">
        <f t="shared" ref="BK39:BK70" si="24">BG39+BH39</f>
        <v>0</v>
      </c>
      <c r="BL39" s="362">
        <f t="shared" ref="BL39:BL70" si="25">SUM(BI39:BK39)</f>
        <v>145</v>
      </c>
      <c r="BM39" s="366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</row>
    <row r="40" spans="1:87" ht="13.5" customHeight="1">
      <c r="A40" s="325" t="s">
        <v>117</v>
      </c>
      <c r="B40" s="311" t="s">
        <v>182</v>
      </c>
      <c r="C40" s="78" t="s">
        <v>183</v>
      </c>
      <c r="D40" s="58" t="s">
        <v>95</v>
      </c>
      <c r="E40" s="62" t="s">
        <v>490</v>
      </c>
      <c r="F40" s="187" t="s">
        <v>70</v>
      </c>
      <c r="G40" s="173" t="s">
        <v>135</v>
      </c>
      <c r="H40" s="170" t="s">
        <v>109</v>
      </c>
      <c r="I40" s="188" t="s">
        <v>104</v>
      </c>
      <c r="J40" s="231">
        <v>23</v>
      </c>
      <c r="K40" s="228">
        <v>23</v>
      </c>
      <c r="L40" s="228">
        <v>0</v>
      </c>
      <c r="M40" s="216">
        <v>0</v>
      </c>
      <c r="N40" s="172">
        <f t="shared" si="17"/>
        <v>23</v>
      </c>
      <c r="O40" s="331">
        <v>2</v>
      </c>
      <c r="P40" s="331">
        <v>21</v>
      </c>
      <c r="Q40" s="331"/>
      <c r="R40" s="331"/>
      <c r="S40" s="331"/>
      <c r="T40" s="331"/>
      <c r="U40" s="172">
        <f t="shared" si="20"/>
        <v>0</v>
      </c>
      <c r="V40" s="331"/>
      <c r="W40" s="331"/>
      <c r="X40" s="331"/>
      <c r="Y40" s="331"/>
      <c r="Z40" s="331"/>
      <c r="AA40" s="331"/>
      <c r="AB40" s="172">
        <f t="shared" si="21"/>
        <v>0</v>
      </c>
      <c r="AC40" s="26"/>
      <c r="AD40" s="26"/>
      <c r="AE40" s="26"/>
      <c r="AF40" s="26"/>
      <c r="AG40" s="26"/>
      <c r="AH40" s="26"/>
      <c r="AI40" s="345">
        <f>(L40+M40)/J40</f>
        <v>0</v>
      </c>
      <c r="AJ40" s="345">
        <f t="shared" si="18"/>
        <v>0</v>
      </c>
      <c r="AK40" s="46" t="s">
        <v>136</v>
      </c>
      <c r="AL40" s="169" t="s">
        <v>109</v>
      </c>
      <c r="AM40" s="169" t="s">
        <v>104</v>
      </c>
      <c r="AN40" s="187" t="s">
        <v>71</v>
      </c>
      <c r="AO40" s="265" t="s">
        <v>169</v>
      </c>
      <c r="AP40" s="258"/>
      <c r="AQ40" s="249">
        <v>1.1519999999999999</v>
      </c>
      <c r="AR40" s="244"/>
      <c r="AS40" s="244"/>
      <c r="AT40" s="244"/>
      <c r="AU40" s="244"/>
      <c r="AV40" s="246"/>
      <c r="AW40" s="127">
        <f t="shared" si="11"/>
        <v>1.1519999999999999</v>
      </c>
      <c r="AX40" s="289"/>
      <c r="AY40" s="289">
        <v>1.2999999999999999E-2</v>
      </c>
      <c r="AZ40" s="292"/>
      <c r="BA40" s="129">
        <f t="shared" si="16"/>
        <v>1.1649999999999998</v>
      </c>
      <c r="BB40" s="129">
        <f t="shared" si="19"/>
        <v>5.0652173913043469E-2</v>
      </c>
      <c r="BC40" s="61">
        <v>20</v>
      </c>
      <c r="BD40" s="54">
        <v>15</v>
      </c>
      <c r="BE40" s="61">
        <v>0</v>
      </c>
      <c r="BF40" s="61">
        <v>70</v>
      </c>
      <c r="BG40" s="65">
        <v>0</v>
      </c>
      <c r="BH40" s="61">
        <v>0</v>
      </c>
      <c r="BI40" s="31">
        <f t="shared" si="22"/>
        <v>35</v>
      </c>
      <c r="BJ40" s="31">
        <f t="shared" si="23"/>
        <v>70</v>
      </c>
      <c r="BK40" s="32">
        <f t="shared" si="24"/>
        <v>0</v>
      </c>
      <c r="BL40" s="362">
        <f t="shared" si="25"/>
        <v>105</v>
      </c>
      <c r="BM40" s="379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</row>
    <row r="41" spans="1:87" ht="13.5" customHeight="1">
      <c r="A41" s="324" t="s">
        <v>194</v>
      </c>
      <c r="B41" s="617" t="s">
        <v>502</v>
      </c>
      <c r="C41" s="66" t="s">
        <v>183</v>
      </c>
      <c r="D41" s="45" t="s">
        <v>95</v>
      </c>
      <c r="E41" s="62" t="s">
        <v>490</v>
      </c>
      <c r="F41" s="173" t="s">
        <v>81</v>
      </c>
      <c r="G41" s="173" t="s">
        <v>81</v>
      </c>
      <c r="H41" s="171" t="s">
        <v>75</v>
      </c>
      <c r="I41" s="186" t="s">
        <v>125</v>
      </c>
      <c r="J41" s="231">
        <v>10</v>
      </c>
      <c r="K41" s="226">
        <v>7</v>
      </c>
      <c r="L41" s="226">
        <v>2</v>
      </c>
      <c r="M41" s="226">
        <v>1</v>
      </c>
      <c r="N41" s="172">
        <f t="shared" si="17"/>
        <v>7</v>
      </c>
      <c r="O41" s="290">
        <v>0</v>
      </c>
      <c r="P41" s="290">
        <v>3</v>
      </c>
      <c r="Q41" s="290">
        <v>3</v>
      </c>
      <c r="R41" s="290">
        <v>1</v>
      </c>
      <c r="S41" s="290">
        <v>0</v>
      </c>
      <c r="T41" s="290">
        <v>0</v>
      </c>
      <c r="U41" s="172">
        <f t="shared" si="20"/>
        <v>2</v>
      </c>
      <c r="V41" s="290">
        <v>0</v>
      </c>
      <c r="W41" s="290">
        <v>2</v>
      </c>
      <c r="X41" s="290">
        <v>0</v>
      </c>
      <c r="Y41" s="290">
        <v>0</v>
      </c>
      <c r="Z41" s="290">
        <v>0</v>
      </c>
      <c r="AA41" s="290">
        <v>0</v>
      </c>
      <c r="AB41" s="172">
        <f t="shared" si="21"/>
        <v>1</v>
      </c>
      <c r="AC41" s="69">
        <v>0</v>
      </c>
      <c r="AD41" s="69">
        <v>1</v>
      </c>
      <c r="AE41" s="69">
        <v>0</v>
      </c>
      <c r="AF41" s="69">
        <v>0</v>
      </c>
      <c r="AG41" s="69">
        <v>0</v>
      </c>
      <c r="AH41" s="69">
        <v>0</v>
      </c>
      <c r="AI41" s="345">
        <f>(U41+AB41)/J41</f>
        <v>0.3</v>
      </c>
      <c r="AJ41" s="345">
        <f t="shared" si="18"/>
        <v>0.1</v>
      </c>
      <c r="AK41" s="46" t="s">
        <v>73</v>
      </c>
      <c r="AL41" s="169" t="s">
        <v>75</v>
      </c>
      <c r="AM41" s="191" t="s">
        <v>125</v>
      </c>
      <c r="AN41" s="169" t="s">
        <v>84</v>
      </c>
      <c r="AO41" s="190" t="s">
        <v>82</v>
      </c>
      <c r="AP41" s="248"/>
      <c r="AQ41" s="248"/>
      <c r="AR41" s="248"/>
      <c r="AS41" s="248"/>
      <c r="AT41" s="248">
        <v>0.59</v>
      </c>
      <c r="AU41" s="248"/>
      <c r="AV41" s="248"/>
      <c r="AW41" s="127">
        <f t="shared" si="11"/>
        <v>0.59</v>
      </c>
      <c r="AX41" s="286"/>
      <c r="AY41" s="286"/>
      <c r="AZ41" s="292"/>
      <c r="BA41" s="129">
        <f t="shared" si="16"/>
        <v>0.59</v>
      </c>
      <c r="BB41" s="129">
        <f t="shared" si="19"/>
        <v>5.8999999999999997E-2</v>
      </c>
      <c r="BC41" s="61">
        <v>20</v>
      </c>
      <c r="BD41" s="54">
        <v>15</v>
      </c>
      <c r="BE41" s="61">
        <v>50</v>
      </c>
      <c r="BF41" s="61">
        <v>30</v>
      </c>
      <c r="BG41" s="54">
        <v>0</v>
      </c>
      <c r="BH41" s="61">
        <v>0</v>
      </c>
      <c r="BI41" s="31">
        <f t="shared" si="22"/>
        <v>35</v>
      </c>
      <c r="BJ41" s="31">
        <f t="shared" si="23"/>
        <v>80</v>
      </c>
      <c r="BK41" s="32">
        <f t="shared" si="24"/>
        <v>0</v>
      </c>
      <c r="BL41" s="362">
        <f t="shared" si="25"/>
        <v>115</v>
      </c>
      <c r="BM41" s="366"/>
      <c r="BN41" s="1"/>
      <c r="BO41" s="5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ht="13.5" customHeight="1">
      <c r="A42" s="318" t="s">
        <v>206</v>
      </c>
      <c r="B42" s="614" t="s">
        <v>207</v>
      </c>
      <c r="C42" s="78" t="s">
        <v>196</v>
      </c>
      <c r="D42" s="58" t="s">
        <v>69</v>
      </c>
      <c r="E42" s="58" t="s">
        <v>488</v>
      </c>
      <c r="F42" s="173" t="s">
        <v>81</v>
      </c>
      <c r="G42" s="173" t="s">
        <v>81</v>
      </c>
      <c r="H42" s="170" t="s">
        <v>109</v>
      </c>
      <c r="I42" s="188" t="s">
        <v>115</v>
      </c>
      <c r="J42" s="231">
        <v>18</v>
      </c>
      <c r="K42" s="222">
        <v>0</v>
      </c>
      <c r="L42" s="222">
        <v>16</v>
      </c>
      <c r="M42" s="216">
        <v>2</v>
      </c>
      <c r="N42" s="172">
        <f t="shared" si="17"/>
        <v>0</v>
      </c>
      <c r="O42" s="331">
        <v>0</v>
      </c>
      <c r="P42" s="331">
        <v>0</v>
      </c>
      <c r="Q42" s="331">
        <v>0</v>
      </c>
      <c r="R42" s="331">
        <v>0</v>
      </c>
      <c r="S42" s="331">
        <v>0</v>
      </c>
      <c r="T42" s="331">
        <v>0</v>
      </c>
      <c r="U42" s="172">
        <f t="shared" si="20"/>
        <v>16</v>
      </c>
      <c r="V42" s="331">
        <v>0</v>
      </c>
      <c r="W42" s="331">
        <v>16</v>
      </c>
      <c r="X42" s="331">
        <v>0</v>
      </c>
      <c r="Y42" s="331">
        <v>0</v>
      </c>
      <c r="Z42" s="331">
        <v>0</v>
      </c>
      <c r="AA42" s="331">
        <v>0</v>
      </c>
      <c r="AB42" s="172">
        <f t="shared" si="21"/>
        <v>2</v>
      </c>
      <c r="AC42" s="26">
        <v>0</v>
      </c>
      <c r="AD42" s="26">
        <v>1</v>
      </c>
      <c r="AE42" s="26">
        <v>1</v>
      </c>
      <c r="AF42" s="26">
        <v>0</v>
      </c>
      <c r="AG42" s="26">
        <v>0</v>
      </c>
      <c r="AH42" s="26">
        <v>0</v>
      </c>
      <c r="AI42" s="345">
        <f>(U42+AB42)/J42</f>
        <v>1</v>
      </c>
      <c r="AJ42" s="345">
        <f t="shared" si="18"/>
        <v>0.1111111111111111</v>
      </c>
      <c r="AK42" s="46" t="s">
        <v>73</v>
      </c>
      <c r="AL42" s="167" t="s">
        <v>109</v>
      </c>
      <c r="AM42" s="167" t="s">
        <v>169</v>
      </c>
      <c r="AN42" s="495" t="s">
        <v>71</v>
      </c>
      <c r="AO42" s="495" t="s">
        <v>115</v>
      </c>
      <c r="AP42" s="272">
        <v>0.45500000000000002</v>
      </c>
      <c r="AQ42" s="272">
        <v>0.60699999999999998</v>
      </c>
      <c r="AR42" s="272"/>
      <c r="AS42" s="272"/>
      <c r="AT42" s="272"/>
      <c r="AU42" s="272"/>
      <c r="AV42" s="272"/>
      <c r="AW42" s="127">
        <f t="shared" si="11"/>
        <v>1.0620000000000001</v>
      </c>
      <c r="AX42" s="286"/>
      <c r="AY42" s="286"/>
      <c r="AZ42" s="292"/>
      <c r="BA42" s="129">
        <f t="shared" si="16"/>
        <v>1.0620000000000001</v>
      </c>
      <c r="BB42" s="129">
        <f t="shared" si="19"/>
        <v>5.9000000000000004E-2</v>
      </c>
      <c r="BC42" s="30">
        <v>40</v>
      </c>
      <c r="BD42" s="54">
        <v>45</v>
      </c>
      <c r="BE42" s="61">
        <v>50</v>
      </c>
      <c r="BF42" s="61">
        <v>30</v>
      </c>
      <c r="BG42" s="54">
        <v>0</v>
      </c>
      <c r="BH42" s="61">
        <v>0</v>
      </c>
      <c r="BI42" s="31">
        <f t="shared" si="22"/>
        <v>85</v>
      </c>
      <c r="BJ42" s="31">
        <f t="shared" si="23"/>
        <v>80</v>
      </c>
      <c r="BK42" s="32">
        <f t="shared" si="24"/>
        <v>0</v>
      </c>
      <c r="BL42" s="362">
        <f t="shared" si="25"/>
        <v>165</v>
      </c>
      <c r="BM42" s="375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ht="13.5" customHeight="1">
      <c r="A43" s="320" t="s">
        <v>225</v>
      </c>
      <c r="B43" s="311" t="s">
        <v>226</v>
      </c>
      <c r="C43" s="23" t="s">
        <v>196</v>
      </c>
      <c r="D43" s="58" t="s">
        <v>69</v>
      </c>
      <c r="E43" s="58" t="s">
        <v>488</v>
      </c>
      <c r="F43" s="173" t="s">
        <v>70</v>
      </c>
      <c r="G43" s="173" t="s">
        <v>70</v>
      </c>
      <c r="H43" s="189" t="s">
        <v>84</v>
      </c>
      <c r="I43" s="197" t="s">
        <v>115</v>
      </c>
      <c r="J43" s="231">
        <v>22</v>
      </c>
      <c r="K43" s="216">
        <v>15</v>
      </c>
      <c r="L43" s="216">
        <v>7</v>
      </c>
      <c r="M43" s="216">
        <v>0</v>
      </c>
      <c r="N43" s="172">
        <f t="shared" si="17"/>
        <v>15</v>
      </c>
      <c r="O43" s="331"/>
      <c r="P43" s="335">
        <v>11</v>
      </c>
      <c r="Q43" s="331">
        <v>4</v>
      </c>
      <c r="R43" s="331"/>
      <c r="S43" s="331"/>
      <c r="T43" s="331"/>
      <c r="U43" s="172">
        <f t="shared" si="20"/>
        <v>7</v>
      </c>
      <c r="V43" s="331"/>
      <c r="W43" s="331">
        <v>6</v>
      </c>
      <c r="X43" s="331"/>
      <c r="Y43" s="331">
        <v>1</v>
      </c>
      <c r="Z43" s="331"/>
      <c r="AA43" s="331"/>
      <c r="AB43" s="172">
        <f t="shared" si="21"/>
        <v>0</v>
      </c>
      <c r="AC43" s="26"/>
      <c r="AD43" s="26"/>
      <c r="AE43" s="26"/>
      <c r="AF43" s="26"/>
      <c r="AG43" s="26"/>
      <c r="AH43" s="26"/>
      <c r="AI43" s="345">
        <f>(L43+M43)/J43</f>
        <v>0.31818181818181818</v>
      </c>
      <c r="AJ43" s="345">
        <f t="shared" si="18"/>
        <v>0</v>
      </c>
      <c r="AK43" s="46" t="s">
        <v>73</v>
      </c>
      <c r="AL43" s="166" t="s">
        <v>84</v>
      </c>
      <c r="AM43" s="205" t="s">
        <v>115</v>
      </c>
      <c r="AN43" s="187" t="s">
        <v>89</v>
      </c>
      <c r="AO43" s="192" t="s">
        <v>115</v>
      </c>
      <c r="AP43" s="244"/>
      <c r="AQ43" s="253"/>
      <c r="AR43" s="268"/>
      <c r="AS43" s="253"/>
      <c r="AT43" s="268">
        <v>1.6719999999999999</v>
      </c>
      <c r="AU43" s="253"/>
      <c r="AV43" s="175"/>
      <c r="AW43" s="127">
        <f t="shared" si="11"/>
        <v>1.6719999999999999</v>
      </c>
      <c r="AX43" s="287"/>
      <c r="AY43" s="287"/>
      <c r="AZ43" s="294"/>
      <c r="BA43" s="129">
        <f t="shared" si="16"/>
        <v>1.6719999999999999</v>
      </c>
      <c r="BB43" s="129">
        <f t="shared" si="19"/>
        <v>7.5999999999999998E-2</v>
      </c>
      <c r="BC43" s="30">
        <v>40</v>
      </c>
      <c r="BD43" s="40">
        <v>45</v>
      </c>
      <c r="BE43" s="30">
        <v>10</v>
      </c>
      <c r="BF43" s="30">
        <v>10</v>
      </c>
      <c r="BG43" s="40">
        <v>0</v>
      </c>
      <c r="BH43" s="30">
        <v>0</v>
      </c>
      <c r="BI43" s="31">
        <f t="shared" si="22"/>
        <v>85</v>
      </c>
      <c r="BJ43" s="31">
        <f t="shared" si="23"/>
        <v>20</v>
      </c>
      <c r="BK43" s="32">
        <f t="shared" si="24"/>
        <v>0</v>
      </c>
      <c r="BL43" s="362">
        <f t="shared" si="25"/>
        <v>105</v>
      </c>
      <c r="BM43" s="367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s="511" customFormat="1" ht="13.5" customHeight="1">
      <c r="A44" s="488" t="s">
        <v>201</v>
      </c>
      <c r="B44" s="618" t="s">
        <v>202</v>
      </c>
      <c r="C44" s="521" t="s">
        <v>196</v>
      </c>
      <c r="D44" s="490" t="s">
        <v>69</v>
      </c>
      <c r="E44" s="490" t="s">
        <v>488</v>
      </c>
      <c r="F44" s="491" t="s">
        <v>81</v>
      </c>
      <c r="G44" s="491" t="s">
        <v>81</v>
      </c>
      <c r="H44" s="522" t="s">
        <v>71</v>
      </c>
      <c r="I44" s="517" t="s">
        <v>104</v>
      </c>
      <c r="J44" s="231">
        <v>40</v>
      </c>
      <c r="K44" s="216">
        <v>28</v>
      </c>
      <c r="L44" s="216">
        <v>10</v>
      </c>
      <c r="M44" s="216">
        <v>2</v>
      </c>
      <c r="N44" s="494">
        <v>20</v>
      </c>
      <c r="O44" s="331">
        <v>0</v>
      </c>
      <c r="P44" s="331">
        <v>13</v>
      </c>
      <c r="Q44" s="331">
        <v>12</v>
      </c>
      <c r="R44" s="331">
        <v>3</v>
      </c>
      <c r="S44" s="331">
        <v>0</v>
      </c>
      <c r="T44" s="331">
        <v>0</v>
      </c>
      <c r="U44" s="494">
        <v>10</v>
      </c>
      <c r="V44" s="331">
        <v>0</v>
      </c>
      <c r="W44" s="331">
        <v>9</v>
      </c>
      <c r="X44" s="331">
        <v>0</v>
      </c>
      <c r="Y44" s="331">
        <v>0</v>
      </c>
      <c r="Z44" s="331">
        <v>1</v>
      </c>
      <c r="AA44" s="331">
        <v>0</v>
      </c>
      <c r="AB44" s="494">
        <v>10</v>
      </c>
      <c r="AC44" s="26">
        <v>0</v>
      </c>
      <c r="AD44" s="26">
        <v>1</v>
      </c>
      <c r="AE44" s="26">
        <v>1</v>
      </c>
      <c r="AF44" s="26">
        <v>0</v>
      </c>
      <c r="AG44" s="26">
        <v>0</v>
      </c>
      <c r="AH44" s="26">
        <v>0</v>
      </c>
      <c r="AI44" s="345">
        <f>(U44+AB44)/J44</f>
        <v>0.5</v>
      </c>
      <c r="AJ44" s="345">
        <f t="shared" si="18"/>
        <v>0.25</v>
      </c>
      <c r="AK44" s="491" t="s">
        <v>73</v>
      </c>
      <c r="AL44" s="491" t="s">
        <v>71</v>
      </c>
      <c r="AM44" s="523" t="s">
        <v>104</v>
      </c>
      <c r="AN44" s="495" t="s">
        <v>75</v>
      </c>
      <c r="AO44" s="523" t="s">
        <v>97</v>
      </c>
      <c r="AP44" s="496"/>
      <c r="AQ44" s="496"/>
      <c r="AR44" s="496">
        <v>1</v>
      </c>
      <c r="AS44" s="496">
        <v>1.36</v>
      </c>
      <c r="AT44" s="496"/>
      <c r="AU44" s="496"/>
      <c r="AV44" s="496"/>
      <c r="AW44" s="127">
        <f t="shared" si="11"/>
        <v>2.3600000000000003</v>
      </c>
      <c r="AX44" s="518"/>
      <c r="AY44" s="518"/>
      <c r="AZ44" s="524"/>
      <c r="BA44" s="129">
        <f t="shared" si="16"/>
        <v>2.3600000000000003</v>
      </c>
      <c r="BB44" s="129">
        <f t="shared" si="19"/>
        <v>5.9000000000000011E-2</v>
      </c>
      <c r="BC44" s="525">
        <v>40</v>
      </c>
      <c r="BD44" s="504">
        <v>45</v>
      </c>
      <c r="BE44" s="505">
        <v>50</v>
      </c>
      <c r="BF44" s="505">
        <v>30</v>
      </c>
      <c r="BG44" s="504">
        <v>0</v>
      </c>
      <c r="BH44" s="505">
        <v>0</v>
      </c>
      <c r="BI44" s="506">
        <f t="shared" si="22"/>
        <v>85</v>
      </c>
      <c r="BJ44" s="506">
        <f t="shared" si="23"/>
        <v>80</v>
      </c>
      <c r="BK44" s="507">
        <f t="shared" si="24"/>
        <v>0</v>
      </c>
      <c r="BL44" s="508">
        <f t="shared" si="25"/>
        <v>165</v>
      </c>
      <c r="BM44" s="520"/>
      <c r="BN44" s="510"/>
      <c r="BO44" s="510"/>
      <c r="BP44" s="510"/>
      <c r="BQ44" s="510"/>
      <c r="BR44" s="510"/>
      <c r="BS44" s="510"/>
      <c r="BT44" s="510"/>
      <c r="BU44" s="510"/>
      <c r="BV44" s="510"/>
      <c r="BW44" s="510"/>
      <c r="BX44" s="510"/>
      <c r="BY44" s="510"/>
      <c r="BZ44" s="510"/>
      <c r="CA44" s="510"/>
      <c r="CB44" s="510"/>
      <c r="CC44" s="510"/>
      <c r="CD44" s="510"/>
      <c r="CE44" s="510"/>
      <c r="CF44" s="510"/>
      <c r="CG44" s="510"/>
      <c r="CH44" s="510"/>
      <c r="CI44" s="510"/>
    </row>
    <row r="45" spans="1:87" ht="13.5" customHeight="1">
      <c r="A45" s="324" t="s">
        <v>208</v>
      </c>
      <c r="B45" s="311" t="s">
        <v>209</v>
      </c>
      <c r="C45" s="78" t="s">
        <v>196</v>
      </c>
      <c r="D45" s="58" t="s">
        <v>69</v>
      </c>
      <c r="E45" s="58" t="s">
        <v>488</v>
      </c>
      <c r="F45" s="169" t="s">
        <v>70</v>
      </c>
      <c r="G45" s="173" t="s">
        <v>135</v>
      </c>
      <c r="H45" s="170" t="s">
        <v>71</v>
      </c>
      <c r="I45" s="190" t="s">
        <v>104</v>
      </c>
      <c r="J45" s="229">
        <v>30</v>
      </c>
      <c r="K45" s="216">
        <v>19</v>
      </c>
      <c r="L45" s="216">
        <v>11</v>
      </c>
      <c r="M45" s="226">
        <v>0</v>
      </c>
      <c r="N45" s="172">
        <f t="shared" si="17"/>
        <v>19</v>
      </c>
      <c r="O45" s="290"/>
      <c r="P45" s="290">
        <v>14</v>
      </c>
      <c r="Q45" s="290">
        <v>5</v>
      </c>
      <c r="R45" s="290"/>
      <c r="S45" s="290"/>
      <c r="T45" s="290"/>
      <c r="U45" s="172">
        <f t="shared" si="20"/>
        <v>11</v>
      </c>
      <c r="V45" s="290"/>
      <c r="W45" s="290">
        <v>10</v>
      </c>
      <c r="X45" s="290"/>
      <c r="Y45" s="290">
        <v>1</v>
      </c>
      <c r="Z45" s="290"/>
      <c r="AA45" s="290"/>
      <c r="AB45" s="172">
        <f t="shared" si="21"/>
        <v>0</v>
      </c>
      <c r="AC45" s="69"/>
      <c r="AD45" s="69"/>
      <c r="AE45" s="69"/>
      <c r="AF45" s="69"/>
      <c r="AG45" s="69"/>
      <c r="AH45" s="69"/>
      <c r="AI45" s="345">
        <f>(L45+M45)/J45</f>
        <v>0.36666666666666664</v>
      </c>
      <c r="AJ45" s="346">
        <f t="shared" si="18"/>
        <v>0</v>
      </c>
      <c r="AK45" s="46" t="s">
        <v>136</v>
      </c>
      <c r="AL45" s="270" t="s">
        <v>71</v>
      </c>
      <c r="AM45" s="208" t="s">
        <v>104</v>
      </c>
      <c r="AN45" s="270" t="s">
        <v>84</v>
      </c>
      <c r="AO45" s="208" t="s">
        <v>110</v>
      </c>
      <c r="AP45" s="244"/>
      <c r="AQ45" s="244"/>
      <c r="AR45" s="249">
        <v>1.35</v>
      </c>
      <c r="AS45" s="249"/>
      <c r="AT45" s="248"/>
      <c r="AU45" s="256"/>
      <c r="AV45" s="246"/>
      <c r="AW45" s="127">
        <f t="shared" si="11"/>
        <v>1.35</v>
      </c>
      <c r="AX45" s="290"/>
      <c r="AY45" s="290"/>
      <c r="AZ45" s="291"/>
      <c r="BA45" s="129">
        <f t="shared" si="16"/>
        <v>1.35</v>
      </c>
      <c r="BB45" s="129">
        <f t="shared" si="19"/>
        <v>4.5000000000000005E-2</v>
      </c>
      <c r="BC45" s="61">
        <v>40</v>
      </c>
      <c r="BD45" s="54">
        <v>45</v>
      </c>
      <c r="BE45" s="61">
        <v>10</v>
      </c>
      <c r="BF45" s="61">
        <v>30</v>
      </c>
      <c r="BG45" s="54">
        <v>20</v>
      </c>
      <c r="BH45" s="61">
        <v>20</v>
      </c>
      <c r="BI45" s="31">
        <f t="shared" si="22"/>
        <v>85</v>
      </c>
      <c r="BJ45" s="31">
        <f t="shared" si="23"/>
        <v>40</v>
      </c>
      <c r="BK45" s="32">
        <f t="shared" si="24"/>
        <v>40</v>
      </c>
      <c r="BL45" s="362">
        <f t="shared" si="25"/>
        <v>165</v>
      </c>
      <c r="BM45" s="368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ht="13.5" customHeight="1">
      <c r="A46" s="318" t="s">
        <v>210</v>
      </c>
      <c r="B46" s="122" t="s">
        <v>211</v>
      </c>
      <c r="C46" s="66" t="s">
        <v>196</v>
      </c>
      <c r="D46" s="45" t="s">
        <v>69</v>
      </c>
      <c r="E46" s="58" t="s">
        <v>488</v>
      </c>
      <c r="F46" s="194" t="s">
        <v>70</v>
      </c>
      <c r="G46" s="171" t="s">
        <v>70</v>
      </c>
      <c r="H46" s="171" t="s">
        <v>71</v>
      </c>
      <c r="I46" s="190" t="s">
        <v>104</v>
      </c>
      <c r="J46" s="229">
        <v>40</v>
      </c>
      <c r="K46" s="226">
        <v>27</v>
      </c>
      <c r="L46" s="226">
        <v>13</v>
      </c>
      <c r="M46" s="216">
        <v>0</v>
      </c>
      <c r="N46" s="172">
        <f t="shared" si="17"/>
        <v>27</v>
      </c>
      <c r="O46" s="331"/>
      <c r="P46" s="331">
        <v>21</v>
      </c>
      <c r="Q46" s="331">
        <v>6</v>
      </c>
      <c r="R46" s="331"/>
      <c r="S46" s="331"/>
      <c r="T46" s="331"/>
      <c r="U46" s="172">
        <f t="shared" si="20"/>
        <v>13</v>
      </c>
      <c r="V46" s="331"/>
      <c r="W46" s="331">
        <v>11</v>
      </c>
      <c r="X46" s="331"/>
      <c r="Y46" s="331">
        <v>2</v>
      </c>
      <c r="Z46" s="331"/>
      <c r="AA46" s="331"/>
      <c r="AB46" s="172">
        <f t="shared" si="21"/>
        <v>0</v>
      </c>
      <c r="AC46" s="26"/>
      <c r="AD46" s="26"/>
      <c r="AE46" s="26"/>
      <c r="AF46" s="26"/>
      <c r="AG46" s="26"/>
      <c r="AH46" s="26"/>
      <c r="AI46" s="345">
        <f>(L46+M46)/J46</f>
        <v>0.32500000000000001</v>
      </c>
      <c r="AJ46" s="346">
        <f t="shared" si="18"/>
        <v>0</v>
      </c>
      <c r="AK46" s="63" t="s">
        <v>73</v>
      </c>
      <c r="AL46" s="171" t="s">
        <v>71</v>
      </c>
      <c r="AM46" s="171" t="s">
        <v>104</v>
      </c>
      <c r="AN46" s="171" t="s">
        <v>84</v>
      </c>
      <c r="AO46" s="190" t="s">
        <v>110</v>
      </c>
      <c r="AP46" s="256"/>
      <c r="AQ46" s="259"/>
      <c r="AR46" s="258">
        <v>2.34</v>
      </c>
      <c r="AS46" s="258">
        <f>(0.076*40)-AR46</f>
        <v>0.70000000000000018</v>
      </c>
      <c r="AT46" s="244"/>
      <c r="AU46" s="256"/>
      <c r="AV46" s="246"/>
      <c r="AW46" s="127">
        <f t="shared" si="11"/>
        <v>3.04</v>
      </c>
      <c r="AX46" s="289"/>
      <c r="AY46" s="289"/>
      <c r="AZ46" s="292"/>
      <c r="BA46" s="129">
        <f t="shared" si="16"/>
        <v>3.04</v>
      </c>
      <c r="BB46" s="129">
        <f t="shared" si="19"/>
        <v>7.5999999999999998E-2</v>
      </c>
      <c r="BC46" s="54">
        <v>40</v>
      </c>
      <c r="BD46" s="54">
        <v>45</v>
      </c>
      <c r="BE46" s="61">
        <v>10</v>
      </c>
      <c r="BF46" s="61">
        <v>30</v>
      </c>
      <c r="BG46" s="54">
        <v>20</v>
      </c>
      <c r="BH46" s="61">
        <v>20</v>
      </c>
      <c r="BI46" s="31">
        <f t="shared" si="22"/>
        <v>85</v>
      </c>
      <c r="BJ46" s="31">
        <f t="shared" si="23"/>
        <v>40</v>
      </c>
      <c r="BK46" s="32">
        <f t="shared" si="24"/>
        <v>40</v>
      </c>
      <c r="BL46" s="362">
        <f t="shared" si="25"/>
        <v>165</v>
      </c>
      <c r="BM46" s="366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</row>
    <row r="47" spans="1:87" ht="13.5" customHeight="1">
      <c r="A47" s="318" t="s">
        <v>203</v>
      </c>
      <c r="B47" s="122" t="s">
        <v>204</v>
      </c>
      <c r="C47" s="78" t="s">
        <v>196</v>
      </c>
      <c r="D47" s="58" t="s">
        <v>69</v>
      </c>
      <c r="E47" s="58" t="s">
        <v>488</v>
      </c>
      <c r="F47" s="173" t="s">
        <v>70</v>
      </c>
      <c r="G47" s="173" t="s">
        <v>70</v>
      </c>
      <c r="H47" s="189" t="s">
        <v>89</v>
      </c>
      <c r="I47" s="190" t="s">
        <v>85</v>
      </c>
      <c r="J47" s="229">
        <v>0</v>
      </c>
      <c r="K47" s="216">
        <v>33</v>
      </c>
      <c r="L47" s="216">
        <v>16</v>
      </c>
      <c r="M47" s="216">
        <v>2</v>
      </c>
      <c r="N47" s="172">
        <f t="shared" si="17"/>
        <v>0</v>
      </c>
      <c r="O47" s="331"/>
      <c r="P47" s="331"/>
      <c r="Q47" s="331"/>
      <c r="R47" s="331"/>
      <c r="S47" s="331"/>
      <c r="T47" s="331"/>
      <c r="U47" s="172">
        <f t="shared" si="20"/>
        <v>0</v>
      </c>
      <c r="V47" s="331"/>
      <c r="W47" s="331"/>
      <c r="X47" s="331"/>
      <c r="Y47" s="331"/>
      <c r="Z47" s="331"/>
      <c r="AA47" s="331"/>
      <c r="AB47" s="172">
        <f t="shared" si="21"/>
        <v>0</v>
      </c>
      <c r="AC47" s="26"/>
      <c r="AD47" s="26"/>
      <c r="AE47" s="26"/>
      <c r="AF47" s="26"/>
      <c r="AG47" s="26"/>
      <c r="AH47" s="26"/>
      <c r="AI47" s="345">
        <v>0</v>
      </c>
      <c r="AJ47" s="346">
        <v>0</v>
      </c>
      <c r="AK47" s="46" t="s">
        <v>73</v>
      </c>
      <c r="AL47" s="187" t="s">
        <v>89</v>
      </c>
      <c r="AM47" s="173" t="s">
        <v>85</v>
      </c>
      <c r="AN47" s="187" t="s">
        <v>133</v>
      </c>
      <c r="AO47" s="263" t="s">
        <v>97</v>
      </c>
      <c r="AP47" s="244"/>
      <c r="AQ47" s="244"/>
      <c r="AR47" s="259"/>
      <c r="AS47" s="259"/>
      <c r="AT47" s="269"/>
      <c r="AU47" s="269">
        <v>3.9</v>
      </c>
      <c r="AV47" s="246"/>
      <c r="AW47" s="127">
        <f t="shared" si="11"/>
        <v>3.9</v>
      </c>
      <c r="AX47" s="289"/>
      <c r="AY47" s="289"/>
      <c r="AZ47" s="292"/>
      <c r="BA47" s="129">
        <f t="shared" si="16"/>
        <v>3.9</v>
      </c>
      <c r="BB47" s="129">
        <f>BA47/50</f>
        <v>7.8E-2</v>
      </c>
      <c r="BC47" s="54">
        <v>40</v>
      </c>
      <c r="BD47" s="54">
        <v>45</v>
      </c>
      <c r="BE47" s="61">
        <v>10</v>
      </c>
      <c r="BF47" s="61">
        <v>30</v>
      </c>
      <c r="BG47" s="54">
        <v>0</v>
      </c>
      <c r="BH47" s="61">
        <v>0</v>
      </c>
      <c r="BI47" s="31">
        <f t="shared" si="22"/>
        <v>85</v>
      </c>
      <c r="BJ47" s="31">
        <f t="shared" si="23"/>
        <v>40</v>
      </c>
      <c r="BK47" s="32">
        <f t="shared" si="24"/>
        <v>0</v>
      </c>
      <c r="BL47" s="362">
        <f t="shared" si="25"/>
        <v>125</v>
      </c>
      <c r="BM47" s="465" t="s">
        <v>495</v>
      </c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</row>
    <row r="48" spans="1:87" ht="13.5" customHeight="1">
      <c r="A48" s="324" t="s">
        <v>197</v>
      </c>
      <c r="B48" s="95" t="s">
        <v>198</v>
      </c>
      <c r="C48" s="76" t="s">
        <v>196</v>
      </c>
      <c r="D48" s="76" t="s">
        <v>69</v>
      </c>
      <c r="E48" s="58" t="s">
        <v>488</v>
      </c>
      <c r="F48" s="173" t="s">
        <v>70</v>
      </c>
      <c r="G48" s="173" t="s">
        <v>70</v>
      </c>
      <c r="H48" s="189" t="s">
        <v>84</v>
      </c>
      <c r="I48" s="171" t="s">
        <v>72</v>
      </c>
      <c r="J48" s="224">
        <v>27</v>
      </c>
      <c r="K48" s="219">
        <v>19</v>
      </c>
      <c r="L48" s="219">
        <v>8</v>
      </c>
      <c r="M48" s="225">
        <v>0</v>
      </c>
      <c r="N48" s="172">
        <f t="shared" si="17"/>
        <v>17</v>
      </c>
      <c r="O48" s="178"/>
      <c r="P48" s="178">
        <v>11</v>
      </c>
      <c r="Q48" s="178">
        <v>6</v>
      </c>
      <c r="R48" s="178"/>
      <c r="S48" s="178"/>
      <c r="T48" s="178"/>
      <c r="U48" s="172">
        <f t="shared" si="20"/>
        <v>10</v>
      </c>
      <c r="V48" s="178"/>
      <c r="W48" s="178">
        <v>5</v>
      </c>
      <c r="X48" s="178">
        <v>4</v>
      </c>
      <c r="Y48" s="178">
        <v>1</v>
      </c>
      <c r="Z48" s="178"/>
      <c r="AA48" s="178"/>
      <c r="AB48" s="172">
        <f t="shared" si="21"/>
        <v>0</v>
      </c>
      <c r="AC48" s="54"/>
      <c r="AD48" s="54"/>
      <c r="AE48" s="54"/>
      <c r="AF48" s="54"/>
      <c r="AG48" s="54"/>
      <c r="AH48" s="54"/>
      <c r="AI48" s="345">
        <f>(L48+M48)/J48</f>
        <v>0.29629629629629628</v>
      </c>
      <c r="AJ48" s="346">
        <f>AB48/J48</f>
        <v>0</v>
      </c>
      <c r="AK48" s="63" t="s">
        <v>73</v>
      </c>
      <c r="AL48" s="173" t="s">
        <v>84</v>
      </c>
      <c r="AM48" s="173" t="s">
        <v>72</v>
      </c>
      <c r="AN48" s="173" t="s">
        <v>89</v>
      </c>
      <c r="AO48" s="173" t="s">
        <v>72</v>
      </c>
      <c r="AP48" s="254"/>
      <c r="AQ48" s="174"/>
      <c r="AR48" s="253"/>
      <c r="AS48" s="254"/>
      <c r="AT48" s="254">
        <v>2.0249999999999999</v>
      </c>
      <c r="AU48" s="254"/>
      <c r="AV48" s="175"/>
      <c r="AW48" s="127">
        <f t="shared" si="11"/>
        <v>2.0249999999999999</v>
      </c>
      <c r="AX48" s="178"/>
      <c r="AY48" s="178"/>
      <c r="AZ48" s="195"/>
      <c r="BA48" s="129">
        <f t="shared" si="16"/>
        <v>2.0249999999999999</v>
      </c>
      <c r="BB48" s="129">
        <f>BA48/J48</f>
        <v>7.4999999999999997E-2</v>
      </c>
      <c r="BC48" s="54">
        <v>40</v>
      </c>
      <c r="BD48" s="54">
        <v>45</v>
      </c>
      <c r="BE48" s="54">
        <v>10</v>
      </c>
      <c r="BF48" s="54">
        <v>30</v>
      </c>
      <c r="BG48" s="65">
        <v>0</v>
      </c>
      <c r="BH48" s="54">
        <v>0</v>
      </c>
      <c r="BI48" s="31">
        <f t="shared" si="22"/>
        <v>85</v>
      </c>
      <c r="BJ48" s="31">
        <f t="shared" si="23"/>
        <v>40</v>
      </c>
      <c r="BK48" s="32">
        <f t="shared" si="24"/>
        <v>0</v>
      </c>
      <c r="BL48" s="362">
        <f t="shared" si="25"/>
        <v>125</v>
      </c>
      <c r="BM48" s="368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87" ht="13.5" customHeight="1">
      <c r="A49" s="318" t="s">
        <v>199</v>
      </c>
      <c r="B49" s="308" t="s">
        <v>200</v>
      </c>
      <c r="C49" s="58" t="s">
        <v>196</v>
      </c>
      <c r="D49" s="58" t="s">
        <v>69</v>
      </c>
      <c r="E49" s="58" t="s">
        <v>488</v>
      </c>
      <c r="F49" s="173" t="s">
        <v>70</v>
      </c>
      <c r="G49" s="173" t="s">
        <v>70</v>
      </c>
      <c r="H49" s="170" t="s">
        <v>71</v>
      </c>
      <c r="I49" s="171" t="s">
        <v>72</v>
      </c>
      <c r="J49" s="229">
        <v>27</v>
      </c>
      <c r="K49" s="219">
        <v>19</v>
      </c>
      <c r="L49" s="219">
        <v>7</v>
      </c>
      <c r="M49" s="219">
        <v>1</v>
      </c>
      <c r="N49" s="172">
        <f t="shared" si="17"/>
        <v>19</v>
      </c>
      <c r="O49" s="332"/>
      <c r="P49" s="332">
        <v>13</v>
      </c>
      <c r="Q49" s="332">
        <v>6</v>
      </c>
      <c r="R49" s="332"/>
      <c r="S49" s="332"/>
      <c r="T49" s="332"/>
      <c r="U49" s="172">
        <f t="shared" si="20"/>
        <v>7</v>
      </c>
      <c r="V49" s="332"/>
      <c r="W49" s="332">
        <v>7</v>
      </c>
      <c r="X49" s="332"/>
      <c r="Y49" s="332">
        <v>0</v>
      </c>
      <c r="Z49" s="332"/>
      <c r="AA49" s="332"/>
      <c r="AB49" s="172">
        <f t="shared" si="21"/>
        <v>1</v>
      </c>
      <c r="AC49" s="43"/>
      <c r="AD49" s="43">
        <v>1</v>
      </c>
      <c r="AE49" s="43"/>
      <c r="AF49" s="43"/>
      <c r="AG49" s="43"/>
      <c r="AH49" s="43"/>
      <c r="AI49" s="345">
        <f>(L49+M49)/J49</f>
        <v>0.29629629629629628</v>
      </c>
      <c r="AJ49" s="346">
        <f>AB49/J49</f>
        <v>3.7037037037037035E-2</v>
      </c>
      <c r="AK49" s="46" t="s">
        <v>73</v>
      </c>
      <c r="AL49" s="169" t="s">
        <v>71</v>
      </c>
      <c r="AM49" s="173" t="s">
        <v>90</v>
      </c>
      <c r="AN49" s="169" t="s">
        <v>75</v>
      </c>
      <c r="AO49" s="173" t="s">
        <v>169</v>
      </c>
      <c r="AP49" s="174"/>
      <c r="AQ49" s="267"/>
      <c r="AR49" s="267">
        <v>1.252</v>
      </c>
      <c r="AS49" s="268">
        <v>0.85</v>
      </c>
      <c r="AT49" s="253"/>
      <c r="AU49" s="174"/>
      <c r="AV49" s="175"/>
      <c r="AW49" s="127">
        <f t="shared" si="11"/>
        <v>2.1019999999999999</v>
      </c>
      <c r="AX49" s="176"/>
      <c r="AY49" s="176"/>
      <c r="AZ49" s="176"/>
      <c r="BA49" s="129">
        <f t="shared" si="16"/>
        <v>2.1019999999999999</v>
      </c>
      <c r="BB49" s="129">
        <f>BA49/J49</f>
        <v>7.7851851851851853E-2</v>
      </c>
      <c r="BC49" s="54">
        <v>40</v>
      </c>
      <c r="BD49" s="54">
        <v>45</v>
      </c>
      <c r="BE49" s="54">
        <v>10</v>
      </c>
      <c r="BF49" s="54">
        <v>30</v>
      </c>
      <c r="BG49" s="65">
        <v>0</v>
      </c>
      <c r="BH49" s="54">
        <v>0</v>
      </c>
      <c r="BI49" s="31">
        <f t="shared" si="22"/>
        <v>85</v>
      </c>
      <c r="BJ49" s="31">
        <f t="shared" si="23"/>
        <v>40</v>
      </c>
      <c r="BK49" s="32">
        <f t="shared" si="24"/>
        <v>0</v>
      </c>
      <c r="BL49" s="362">
        <f t="shared" si="25"/>
        <v>125</v>
      </c>
      <c r="BM49" s="366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spans="1:87" s="511" customFormat="1" ht="13.5" customHeight="1">
      <c r="A50" s="526" t="s">
        <v>223</v>
      </c>
      <c r="B50" s="610" t="s">
        <v>224</v>
      </c>
      <c r="C50" s="527" t="s">
        <v>196</v>
      </c>
      <c r="D50" s="528" t="s">
        <v>69</v>
      </c>
      <c r="E50" s="490" t="s">
        <v>488</v>
      </c>
      <c r="F50" s="527" t="s">
        <v>119</v>
      </c>
      <c r="G50" s="527" t="s">
        <v>81</v>
      </c>
      <c r="H50" s="492" t="s">
        <v>71</v>
      </c>
      <c r="I50" s="529" t="s">
        <v>104</v>
      </c>
      <c r="J50" s="231">
        <v>0</v>
      </c>
      <c r="K50" s="219">
        <v>60</v>
      </c>
      <c r="L50" s="219">
        <v>21</v>
      </c>
      <c r="M50" s="219">
        <v>4</v>
      </c>
      <c r="N50" s="494">
        <f t="shared" si="17"/>
        <v>0</v>
      </c>
      <c r="O50" s="332"/>
      <c r="P50" s="332"/>
      <c r="Q50" s="332"/>
      <c r="R50" s="332"/>
      <c r="S50" s="332"/>
      <c r="T50" s="332"/>
      <c r="U50" s="494">
        <f t="shared" si="20"/>
        <v>0</v>
      </c>
      <c r="V50" s="332"/>
      <c r="W50" s="332"/>
      <c r="X50" s="332"/>
      <c r="Y50" s="332"/>
      <c r="Z50" s="332"/>
      <c r="AA50" s="332"/>
      <c r="AB50" s="494">
        <f t="shared" si="21"/>
        <v>0</v>
      </c>
      <c r="AC50" s="43"/>
      <c r="AD50" s="43"/>
      <c r="AE50" s="43"/>
      <c r="AF50" s="43"/>
      <c r="AG50" s="43"/>
      <c r="AH50" s="43"/>
      <c r="AI50" s="345">
        <v>0</v>
      </c>
      <c r="AJ50" s="345">
        <v>0</v>
      </c>
      <c r="AK50" s="527" t="s">
        <v>83</v>
      </c>
      <c r="AL50" s="495" t="s">
        <v>71</v>
      </c>
      <c r="AM50" s="529" t="s">
        <v>104</v>
      </c>
      <c r="AN50" s="529" t="s">
        <v>133</v>
      </c>
      <c r="AO50" s="529" t="s">
        <v>85</v>
      </c>
      <c r="AP50" s="496"/>
      <c r="AQ50" s="496"/>
      <c r="AR50" s="496">
        <v>1.6</v>
      </c>
      <c r="AS50" s="496">
        <v>1.8</v>
      </c>
      <c r="AT50" s="496">
        <v>1.615</v>
      </c>
      <c r="AU50" s="496"/>
      <c r="AV50" s="496"/>
      <c r="AW50" s="127">
        <f t="shared" si="11"/>
        <v>5.0150000000000006</v>
      </c>
      <c r="AX50" s="518"/>
      <c r="AY50" s="518"/>
      <c r="AZ50" s="530"/>
      <c r="BA50" s="129">
        <f t="shared" si="16"/>
        <v>5.0150000000000006</v>
      </c>
      <c r="BB50" s="129">
        <f>BA50/85</f>
        <v>5.9000000000000004E-2</v>
      </c>
      <c r="BC50" s="525">
        <v>40</v>
      </c>
      <c r="BD50" s="504">
        <v>45</v>
      </c>
      <c r="BE50" s="525">
        <v>0</v>
      </c>
      <c r="BF50" s="525">
        <v>70</v>
      </c>
      <c r="BG50" s="525">
        <v>0</v>
      </c>
      <c r="BH50" s="525">
        <v>20</v>
      </c>
      <c r="BI50" s="506">
        <f t="shared" si="22"/>
        <v>85</v>
      </c>
      <c r="BJ50" s="506">
        <f t="shared" si="23"/>
        <v>70</v>
      </c>
      <c r="BK50" s="507">
        <f t="shared" si="24"/>
        <v>20</v>
      </c>
      <c r="BL50" s="508">
        <f t="shared" si="25"/>
        <v>175</v>
      </c>
      <c r="BM50" s="531"/>
      <c r="BN50" s="510"/>
      <c r="BO50" s="510"/>
      <c r="BP50" s="510"/>
      <c r="BQ50" s="510"/>
      <c r="BR50" s="510"/>
      <c r="BS50" s="510"/>
      <c r="BT50" s="510"/>
      <c r="BU50" s="510"/>
      <c r="BV50" s="510"/>
      <c r="BW50" s="510"/>
      <c r="BX50" s="510"/>
      <c r="BY50" s="510"/>
      <c r="BZ50" s="510"/>
      <c r="CA50" s="510"/>
      <c r="CB50" s="510"/>
      <c r="CC50" s="510"/>
      <c r="CD50" s="510"/>
      <c r="CE50" s="510"/>
      <c r="CF50" s="510"/>
      <c r="CG50" s="510"/>
      <c r="CH50" s="510"/>
      <c r="CI50" s="510"/>
    </row>
    <row r="51" spans="1:87" ht="12.75" customHeight="1">
      <c r="A51" s="318" t="s">
        <v>217</v>
      </c>
      <c r="B51" s="310" t="s">
        <v>218</v>
      </c>
      <c r="C51" s="48" t="s">
        <v>196</v>
      </c>
      <c r="D51" s="48" t="s">
        <v>69</v>
      </c>
      <c r="E51" s="58" t="s">
        <v>488</v>
      </c>
      <c r="F51" s="195" t="s">
        <v>70</v>
      </c>
      <c r="G51" s="195" t="s">
        <v>70</v>
      </c>
      <c r="H51" s="195" t="s">
        <v>114</v>
      </c>
      <c r="I51" s="194" t="s">
        <v>82</v>
      </c>
      <c r="J51" s="231">
        <v>29</v>
      </c>
      <c r="K51" s="219">
        <v>29</v>
      </c>
      <c r="L51" s="219">
        <v>0</v>
      </c>
      <c r="M51" s="219">
        <v>0</v>
      </c>
      <c r="N51" s="172">
        <f t="shared" si="17"/>
        <v>29</v>
      </c>
      <c r="O51" s="332"/>
      <c r="P51" s="332">
        <v>25</v>
      </c>
      <c r="Q51" s="332">
        <v>4</v>
      </c>
      <c r="R51" s="332"/>
      <c r="S51" s="332"/>
      <c r="T51" s="332"/>
      <c r="U51" s="172">
        <f t="shared" si="20"/>
        <v>0</v>
      </c>
      <c r="V51" s="332"/>
      <c r="W51" s="332"/>
      <c r="X51" s="332"/>
      <c r="Y51" s="332"/>
      <c r="Z51" s="332"/>
      <c r="AA51" s="332"/>
      <c r="AB51" s="172">
        <f t="shared" si="21"/>
        <v>0</v>
      </c>
      <c r="AC51" s="43"/>
      <c r="AD51" s="43"/>
      <c r="AE51" s="43"/>
      <c r="AF51" s="43"/>
      <c r="AG51" s="43"/>
      <c r="AH51" s="43"/>
      <c r="AI51" s="345">
        <f>(L51+M51)/J51</f>
        <v>0</v>
      </c>
      <c r="AJ51" s="345">
        <f t="shared" ref="AJ51:AJ71" si="26">AB51/J51</f>
        <v>0</v>
      </c>
      <c r="AK51" s="46" t="s">
        <v>73</v>
      </c>
      <c r="AL51" s="195" t="s">
        <v>114</v>
      </c>
      <c r="AM51" s="185" t="s">
        <v>97</v>
      </c>
      <c r="AN51" s="195" t="s">
        <v>109</v>
      </c>
      <c r="AO51" s="169" t="s">
        <v>104</v>
      </c>
      <c r="AP51" s="249">
        <v>0.6</v>
      </c>
      <c r="AQ51" s="249">
        <v>1.65</v>
      </c>
      <c r="AR51" s="244"/>
      <c r="AS51" s="257"/>
      <c r="AT51" s="257"/>
      <c r="AU51" s="257"/>
      <c r="AV51" s="246"/>
      <c r="AW51" s="127">
        <f t="shared" si="11"/>
        <v>2.25</v>
      </c>
      <c r="AX51" s="289"/>
      <c r="AY51" s="289"/>
      <c r="AZ51" s="176"/>
      <c r="BA51" s="129">
        <f t="shared" si="16"/>
        <v>2.25</v>
      </c>
      <c r="BB51" s="129">
        <f t="shared" ref="BB51:BB68" si="27">BA51/J51</f>
        <v>7.7586206896551727E-2</v>
      </c>
      <c r="BC51" s="54">
        <v>40</v>
      </c>
      <c r="BD51" s="54">
        <v>45</v>
      </c>
      <c r="BE51" s="54">
        <v>30</v>
      </c>
      <c r="BF51" s="54">
        <v>70</v>
      </c>
      <c r="BG51" s="54">
        <v>0</v>
      </c>
      <c r="BH51" s="54">
        <v>0</v>
      </c>
      <c r="BI51" s="31">
        <f t="shared" si="22"/>
        <v>85</v>
      </c>
      <c r="BJ51" s="31">
        <f t="shared" si="23"/>
        <v>100</v>
      </c>
      <c r="BK51" s="32">
        <f t="shared" si="24"/>
        <v>0</v>
      </c>
      <c r="BL51" s="362">
        <f t="shared" si="25"/>
        <v>185</v>
      </c>
      <c r="BM51" s="366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spans="1:87" s="511" customFormat="1" ht="13.5" customHeight="1">
      <c r="A52" s="488" t="s">
        <v>215</v>
      </c>
      <c r="B52" s="614" t="s">
        <v>216</v>
      </c>
      <c r="C52" s="521" t="s">
        <v>196</v>
      </c>
      <c r="D52" s="490" t="s">
        <v>69</v>
      </c>
      <c r="E52" s="490" t="s">
        <v>488</v>
      </c>
      <c r="F52" s="491" t="s">
        <v>119</v>
      </c>
      <c r="G52" s="491" t="s">
        <v>81</v>
      </c>
      <c r="H52" s="522" t="s">
        <v>84</v>
      </c>
      <c r="I52" s="517" t="s">
        <v>104</v>
      </c>
      <c r="J52" s="231">
        <v>20</v>
      </c>
      <c r="K52" s="216">
        <v>14</v>
      </c>
      <c r="L52" s="216">
        <v>5</v>
      </c>
      <c r="M52" s="216">
        <v>1</v>
      </c>
      <c r="N52" s="494">
        <f t="shared" si="17"/>
        <v>12</v>
      </c>
      <c r="O52" s="331">
        <v>0</v>
      </c>
      <c r="P52" s="331">
        <v>6</v>
      </c>
      <c r="Q52" s="331">
        <v>5</v>
      </c>
      <c r="R52" s="331">
        <v>1</v>
      </c>
      <c r="S52" s="331">
        <v>0</v>
      </c>
      <c r="T52" s="331">
        <v>0</v>
      </c>
      <c r="U52" s="494">
        <f t="shared" si="20"/>
        <v>8</v>
      </c>
      <c r="V52" s="331">
        <v>0</v>
      </c>
      <c r="W52" s="331">
        <v>5</v>
      </c>
      <c r="X52" s="331">
        <v>1</v>
      </c>
      <c r="Y52" s="331">
        <v>2</v>
      </c>
      <c r="Z52" s="331">
        <v>0</v>
      </c>
      <c r="AA52" s="331">
        <v>0</v>
      </c>
      <c r="AB52" s="494">
        <f t="shared" si="21"/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345">
        <f>(U52+AB52)/J52</f>
        <v>0.4</v>
      </c>
      <c r="AJ52" s="345">
        <f t="shared" si="26"/>
        <v>0</v>
      </c>
      <c r="AK52" s="491" t="s">
        <v>73</v>
      </c>
      <c r="AL52" s="491" t="s">
        <v>84</v>
      </c>
      <c r="AM52" s="523" t="s">
        <v>104</v>
      </c>
      <c r="AN52" s="491" t="s">
        <v>84</v>
      </c>
      <c r="AO52" s="523" t="s">
        <v>97</v>
      </c>
      <c r="AP52" s="532"/>
      <c r="AQ52" s="532"/>
      <c r="AR52" s="496"/>
      <c r="AS52" s="496"/>
      <c r="AT52" s="496">
        <v>1.18</v>
      </c>
      <c r="AU52" s="496"/>
      <c r="AV52" s="496"/>
      <c r="AW52" s="127">
        <f t="shared" si="11"/>
        <v>1.18</v>
      </c>
      <c r="AX52" s="518"/>
      <c r="AY52" s="518"/>
      <c r="AZ52" s="519"/>
      <c r="BA52" s="129">
        <f t="shared" si="16"/>
        <v>1.18</v>
      </c>
      <c r="BB52" s="129">
        <f t="shared" si="27"/>
        <v>5.8999999999999997E-2</v>
      </c>
      <c r="BC52" s="525">
        <v>40</v>
      </c>
      <c r="BD52" s="504">
        <v>45</v>
      </c>
      <c r="BE52" s="504">
        <v>0</v>
      </c>
      <c r="BF52" s="504">
        <v>10</v>
      </c>
      <c r="BG52" s="504">
        <v>0</v>
      </c>
      <c r="BH52" s="504">
        <v>0</v>
      </c>
      <c r="BI52" s="506">
        <f t="shared" si="22"/>
        <v>85</v>
      </c>
      <c r="BJ52" s="506">
        <f t="shared" si="23"/>
        <v>10</v>
      </c>
      <c r="BK52" s="507">
        <f t="shared" si="24"/>
        <v>0</v>
      </c>
      <c r="BL52" s="508">
        <f t="shared" si="25"/>
        <v>95</v>
      </c>
      <c r="BM52" s="520"/>
      <c r="BN52" s="510"/>
      <c r="BO52" s="510"/>
      <c r="BP52" s="510"/>
      <c r="BQ52" s="510"/>
      <c r="BR52" s="510"/>
      <c r="BS52" s="510"/>
      <c r="BT52" s="510"/>
      <c r="BU52" s="510"/>
      <c r="BV52" s="510"/>
      <c r="BW52" s="510"/>
      <c r="BX52" s="510"/>
      <c r="BY52" s="510"/>
      <c r="BZ52" s="510"/>
      <c r="CA52" s="510"/>
      <c r="CB52" s="510"/>
      <c r="CC52" s="510"/>
      <c r="CD52" s="510"/>
      <c r="CE52" s="510"/>
      <c r="CF52" s="510"/>
      <c r="CG52" s="510"/>
      <c r="CH52" s="510"/>
      <c r="CI52" s="510"/>
    </row>
    <row r="53" spans="1:87" s="554" customFormat="1" ht="13.5" customHeight="1">
      <c r="A53" s="533" t="s">
        <v>205</v>
      </c>
      <c r="B53" s="619" t="s">
        <v>507</v>
      </c>
      <c r="C53" s="534" t="s">
        <v>196</v>
      </c>
      <c r="D53" s="535" t="s">
        <v>69</v>
      </c>
      <c r="E53" s="536" t="s">
        <v>488</v>
      </c>
      <c r="F53" s="537" t="s">
        <v>81</v>
      </c>
      <c r="G53" s="537" t="s">
        <v>81</v>
      </c>
      <c r="H53" s="538" t="s">
        <v>71</v>
      </c>
      <c r="I53" s="539" t="s">
        <v>104</v>
      </c>
      <c r="J53" s="231">
        <v>49</v>
      </c>
      <c r="K53" s="216">
        <v>35</v>
      </c>
      <c r="L53" s="216">
        <v>12</v>
      </c>
      <c r="M53" s="216">
        <v>2</v>
      </c>
      <c r="N53" s="540">
        <f t="shared" si="17"/>
        <v>35</v>
      </c>
      <c r="O53" s="331">
        <v>0</v>
      </c>
      <c r="P53" s="331">
        <v>16</v>
      </c>
      <c r="Q53" s="331">
        <v>16</v>
      </c>
      <c r="R53" s="331">
        <v>3</v>
      </c>
      <c r="S53" s="331">
        <v>0</v>
      </c>
      <c r="T53" s="331">
        <v>0</v>
      </c>
      <c r="U53" s="540">
        <f t="shared" si="20"/>
        <v>12</v>
      </c>
      <c r="V53" s="331">
        <v>0</v>
      </c>
      <c r="W53" s="331">
        <v>11</v>
      </c>
      <c r="X53" s="331">
        <v>0</v>
      </c>
      <c r="Y53" s="331">
        <v>0</v>
      </c>
      <c r="Z53" s="331">
        <v>1</v>
      </c>
      <c r="AA53" s="331">
        <v>0</v>
      </c>
      <c r="AB53" s="540">
        <f t="shared" si="21"/>
        <v>2</v>
      </c>
      <c r="AC53" s="26">
        <v>0</v>
      </c>
      <c r="AD53" s="26">
        <v>2</v>
      </c>
      <c r="AE53" s="26">
        <v>0</v>
      </c>
      <c r="AF53" s="26">
        <v>0</v>
      </c>
      <c r="AG53" s="26">
        <v>0</v>
      </c>
      <c r="AH53" s="26">
        <v>0</v>
      </c>
      <c r="AI53" s="345">
        <f>(U53+AB53)/J53</f>
        <v>0.2857142857142857</v>
      </c>
      <c r="AJ53" s="345">
        <f t="shared" si="26"/>
        <v>4.0816326530612242E-2</v>
      </c>
      <c r="AK53" s="537" t="s">
        <v>73</v>
      </c>
      <c r="AL53" s="537" t="s">
        <v>71</v>
      </c>
      <c r="AM53" s="541" t="s">
        <v>110</v>
      </c>
      <c r="AN53" s="537" t="s">
        <v>84</v>
      </c>
      <c r="AO53" s="541" t="s">
        <v>104</v>
      </c>
      <c r="AP53" s="542"/>
      <c r="AQ53" s="542"/>
      <c r="AR53" s="542">
        <v>1</v>
      </c>
      <c r="AS53" s="542">
        <v>1.891</v>
      </c>
      <c r="AT53" s="542"/>
      <c r="AU53" s="542"/>
      <c r="AV53" s="542"/>
      <c r="AW53" s="127">
        <f t="shared" si="11"/>
        <v>2.891</v>
      </c>
      <c r="AX53" s="543"/>
      <c r="AY53" s="543"/>
      <c r="AZ53" s="544"/>
      <c r="BA53" s="129">
        <f t="shared" si="16"/>
        <v>2.891</v>
      </c>
      <c r="BB53" s="129">
        <f t="shared" si="27"/>
        <v>5.8999999999999997E-2</v>
      </c>
      <c r="BC53" s="545">
        <v>40</v>
      </c>
      <c r="BD53" s="546">
        <v>45</v>
      </c>
      <c r="BE53" s="546">
        <v>50</v>
      </c>
      <c r="BF53" s="546">
        <v>30</v>
      </c>
      <c r="BG53" s="546">
        <v>0</v>
      </c>
      <c r="BH53" s="546">
        <v>0</v>
      </c>
      <c r="BI53" s="547">
        <f t="shared" si="22"/>
        <v>85</v>
      </c>
      <c r="BJ53" s="547">
        <f t="shared" si="23"/>
        <v>80</v>
      </c>
      <c r="BK53" s="548">
        <f t="shared" si="24"/>
        <v>0</v>
      </c>
      <c r="BL53" s="549">
        <f t="shared" si="25"/>
        <v>165</v>
      </c>
      <c r="BM53" s="550"/>
      <c r="BN53" s="551"/>
      <c r="BO53" s="552"/>
      <c r="BP53" s="553"/>
      <c r="BQ53" s="553"/>
      <c r="BR53" s="553"/>
      <c r="BS53" s="553"/>
      <c r="BT53" s="553"/>
      <c r="BU53" s="553"/>
      <c r="BV53" s="553"/>
      <c r="BW53" s="553"/>
      <c r="BX53" s="553"/>
      <c r="BY53" s="551"/>
      <c r="BZ53" s="551"/>
      <c r="CA53" s="551"/>
      <c r="CB53" s="551"/>
      <c r="CC53" s="551"/>
      <c r="CD53" s="551"/>
      <c r="CE53" s="551"/>
      <c r="CF53" s="551"/>
      <c r="CG53" s="551"/>
      <c r="CH53" s="551"/>
      <c r="CI53" s="551"/>
    </row>
    <row r="54" spans="1:87" ht="13.5" customHeight="1">
      <c r="A54" s="320" t="s">
        <v>227</v>
      </c>
      <c r="B54" s="303" t="s">
        <v>228</v>
      </c>
      <c r="C54" s="23" t="s">
        <v>196</v>
      </c>
      <c r="D54" s="76" t="s">
        <v>69</v>
      </c>
      <c r="E54" s="58" t="s">
        <v>488</v>
      </c>
      <c r="F54" s="173" t="s">
        <v>135</v>
      </c>
      <c r="G54" s="173" t="s">
        <v>135</v>
      </c>
      <c r="H54" s="189" t="s">
        <v>103</v>
      </c>
      <c r="I54" s="197" t="s">
        <v>90</v>
      </c>
      <c r="J54" s="231">
        <v>33</v>
      </c>
      <c r="K54" s="216">
        <v>33</v>
      </c>
      <c r="L54" s="216">
        <v>0</v>
      </c>
      <c r="M54" s="216">
        <v>0</v>
      </c>
      <c r="N54" s="172">
        <f t="shared" si="17"/>
        <v>33</v>
      </c>
      <c r="O54" s="331"/>
      <c r="P54" s="335">
        <v>33</v>
      </c>
      <c r="Q54" s="331"/>
      <c r="R54" s="331"/>
      <c r="S54" s="331"/>
      <c r="T54" s="331"/>
      <c r="U54" s="172">
        <f t="shared" si="20"/>
        <v>0</v>
      </c>
      <c r="V54" s="331"/>
      <c r="W54" s="331"/>
      <c r="X54" s="331"/>
      <c r="Y54" s="331"/>
      <c r="Z54" s="331"/>
      <c r="AA54" s="331"/>
      <c r="AB54" s="172">
        <f t="shared" si="21"/>
        <v>0</v>
      </c>
      <c r="AC54" s="26"/>
      <c r="AD54" s="26"/>
      <c r="AE54" s="26"/>
      <c r="AF54" s="26"/>
      <c r="AG54" s="26"/>
      <c r="AH54" s="26"/>
      <c r="AI54" s="345">
        <f>(L54+M54)/J54</f>
        <v>0</v>
      </c>
      <c r="AJ54" s="345">
        <f t="shared" si="26"/>
        <v>0</v>
      </c>
      <c r="AK54" s="46" t="s">
        <v>136</v>
      </c>
      <c r="AL54" s="173" t="s">
        <v>103</v>
      </c>
      <c r="AM54" s="210" t="s">
        <v>88</v>
      </c>
      <c r="AN54" s="169" t="s">
        <v>109</v>
      </c>
      <c r="AO54" s="196" t="s">
        <v>88</v>
      </c>
      <c r="AP54" s="244">
        <v>1.6259999999999999</v>
      </c>
      <c r="AQ54" s="244"/>
      <c r="AR54" s="244"/>
      <c r="AS54" s="244"/>
      <c r="AT54" s="244"/>
      <c r="AU54" s="244"/>
      <c r="AV54" s="246"/>
      <c r="AW54" s="127">
        <f t="shared" si="11"/>
        <v>1.6259999999999999</v>
      </c>
      <c r="AX54" s="287"/>
      <c r="AY54" s="287"/>
      <c r="AZ54" s="294"/>
      <c r="BA54" s="129">
        <f t="shared" si="16"/>
        <v>1.6259999999999999</v>
      </c>
      <c r="BB54" s="129">
        <f t="shared" si="27"/>
        <v>4.9272727272727267E-2</v>
      </c>
      <c r="BC54" s="40">
        <v>40</v>
      </c>
      <c r="BD54" s="40">
        <v>45</v>
      </c>
      <c r="BE54" s="40">
        <v>90</v>
      </c>
      <c r="BF54" s="40">
        <v>70</v>
      </c>
      <c r="BG54" s="40">
        <v>0</v>
      </c>
      <c r="BH54" s="40">
        <v>0</v>
      </c>
      <c r="BI54" s="31">
        <f t="shared" si="22"/>
        <v>85</v>
      </c>
      <c r="BJ54" s="31">
        <f t="shared" si="23"/>
        <v>160</v>
      </c>
      <c r="BK54" s="32">
        <f t="shared" si="24"/>
        <v>0</v>
      </c>
      <c r="BL54" s="362">
        <f t="shared" si="25"/>
        <v>245</v>
      </c>
      <c r="BM54" s="367"/>
      <c r="BN54" s="1"/>
      <c r="BO54" s="5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</row>
    <row r="55" spans="1:87" ht="13.5" customHeight="1">
      <c r="A55" s="320" t="s">
        <v>229</v>
      </c>
      <c r="B55" s="305" t="s">
        <v>230</v>
      </c>
      <c r="C55" s="23" t="s">
        <v>196</v>
      </c>
      <c r="D55" s="76" t="s">
        <v>69</v>
      </c>
      <c r="E55" s="58" t="s">
        <v>488</v>
      </c>
      <c r="F55" s="173" t="s">
        <v>135</v>
      </c>
      <c r="G55" s="173" t="s">
        <v>135</v>
      </c>
      <c r="H55" s="189" t="s">
        <v>103</v>
      </c>
      <c r="I55" s="197" t="s">
        <v>90</v>
      </c>
      <c r="J55" s="231">
        <v>33</v>
      </c>
      <c r="K55" s="222">
        <v>33</v>
      </c>
      <c r="L55" s="222">
        <v>0</v>
      </c>
      <c r="M55" s="222">
        <v>0</v>
      </c>
      <c r="N55" s="172">
        <f t="shared" si="17"/>
        <v>33</v>
      </c>
      <c r="O55" s="331"/>
      <c r="P55" s="335">
        <v>33</v>
      </c>
      <c r="Q55" s="331"/>
      <c r="R55" s="331"/>
      <c r="S55" s="331"/>
      <c r="T55" s="331"/>
      <c r="U55" s="172">
        <f t="shared" si="20"/>
        <v>0</v>
      </c>
      <c r="V55" s="331"/>
      <c r="W55" s="331"/>
      <c r="X55" s="331"/>
      <c r="Y55" s="331"/>
      <c r="Z55" s="331"/>
      <c r="AA55" s="331"/>
      <c r="AB55" s="172">
        <f t="shared" si="21"/>
        <v>0</v>
      </c>
      <c r="AC55" s="26"/>
      <c r="AD55" s="26"/>
      <c r="AE55" s="26"/>
      <c r="AF55" s="26"/>
      <c r="AG55" s="26"/>
      <c r="AH55" s="26"/>
      <c r="AI55" s="345">
        <f>(L55+M55)/J55</f>
        <v>0</v>
      </c>
      <c r="AJ55" s="345">
        <f t="shared" si="26"/>
        <v>0</v>
      </c>
      <c r="AK55" s="46" t="s">
        <v>136</v>
      </c>
      <c r="AL55" s="173" t="s">
        <v>103</v>
      </c>
      <c r="AM55" s="192" t="s">
        <v>88</v>
      </c>
      <c r="AN55" s="169" t="s">
        <v>109</v>
      </c>
      <c r="AO55" s="196" t="s">
        <v>88</v>
      </c>
      <c r="AP55" s="244">
        <v>1.6259999999999999</v>
      </c>
      <c r="AQ55" s="244"/>
      <c r="AR55" s="244"/>
      <c r="AS55" s="244"/>
      <c r="AT55" s="244"/>
      <c r="AU55" s="244"/>
      <c r="AV55" s="246"/>
      <c r="AW55" s="127">
        <f t="shared" si="11"/>
        <v>1.6259999999999999</v>
      </c>
      <c r="AX55" s="287"/>
      <c r="AY55" s="287"/>
      <c r="AZ55" s="294"/>
      <c r="BA55" s="129">
        <f t="shared" si="16"/>
        <v>1.6259999999999999</v>
      </c>
      <c r="BB55" s="129">
        <f t="shared" si="27"/>
        <v>4.9272727272727267E-2</v>
      </c>
      <c r="BC55" s="40">
        <v>40</v>
      </c>
      <c r="BD55" s="40">
        <v>45</v>
      </c>
      <c r="BE55" s="40">
        <v>90</v>
      </c>
      <c r="BF55" s="40">
        <v>70</v>
      </c>
      <c r="BG55" s="40">
        <v>0</v>
      </c>
      <c r="BH55" s="40">
        <v>0</v>
      </c>
      <c r="BI55" s="31">
        <f t="shared" si="22"/>
        <v>85</v>
      </c>
      <c r="BJ55" s="31">
        <f t="shared" si="23"/>
        <v>160</v>
      </c>
      <c r="BK55" s="32">
        <f t="shared" si="24"/>
        <v>0</v>
      </c>
      <c r="BL55" s="362">
        <f t="shared" si="25"/>
        <v>245</v>
      </c>
      <c r="BM55" s="367"/>
      <c r="BN55" s="1"/>
      <c r="BO55" s="5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1:87" s="511" customFormat="1" ht="12.75" customHeight="1">
      <c r="A56" s="526" t="s">
        <v>219</v>
      </c>
      <c r="B56" s="610" t="s">
        <v>220</v>
      </c>
      <c r="C56" s="527" t="s">
        <v>196</v>
      </c>
      <c r="D56" s="528" t="s">
        <v>69</v>
      </c>
      <c r="E56" s="490" t="s">
        <v>488</v>
      </c>
      <c r="F56" s="527" t="s">
        <v>119</v>
      </c>
      <c r="G56" s="527" t="s">
        <v>81</v>
      </c>
      <c r="H56" s="492" t="s">
        <v>84</v>
      </c>
      <c r="I56" s="555" t="s">
        <v>104</v>
      </c>
      <c r="J56" s="231">
        <v>12</v>
      </c>
      <c r="K56" s="219">
        <v>8</v>
      </c>
      <c r="L56" s="219">
        <v>3</v>
      </c>
      <c r="M56" s="219">
        <v>1</v>
      </c>
      <c r="N56" s="494">
        <f t="shared" si="17"/>
        <v>8</v>
      </c>
      <c r="O56" s="332">
        <v>0</v>
      </c>
      <c r="P56" s="332">
        <v>4</v>
      </c>
      <c r="Q56" s="332">
        <v>3</v>
      </c>
      <c r="R56" s="332">
        <v>1</v>
      </c>
      <c r="S56" s="332">
        <v>0</v>
      </c>
      <c r="T56" s="332">
        <v>0</v>
      </c>
      <c r="U56" s="494">
        <f t="shared" si="20"/>
        <v>2</v>
      </c>
      <c r="V56" s="332">
        <v>0</v>
      </c>
      <c r="W56" s="332">
        <v>1</v>
      </c>
      <c r="X56" s="332">
        <v>0</v>
      </c>
      <c r="Y56" s="332">
        <v>1</v>
      </c>
      <c r="Z56" s="332">
        <v>0</v>
      </c>
      <c r="AA56" s="332">
        <v>0</v>
      </c>
      <c r="AB56" s="494">
        <f t="shared" si="21"/>
        <v>2</v>
      </c>
      <c r="AC56" s="43">
        <v>0</v>
      </c>
      <c r="AD56" s="43">
        <v>1</v>
      </c>
      <c r="AE56" s="43">
        <v>1</v>
      </c>
      <c r="AF56" s="43">
        <v>0</v>
      </c>
      <c r="AG56" s="43">
        <v>0</v>
      </c>
      <c r="AH56" s="43">
        <v>0</v>
      </c>
      <c r="AI56" s="345">
        <f>(U56+AB56)/J56</f>
        <v>0.33333333333333331</v>
      </c>
      <c r="AJ56" s="345">
        <f t="shared" si="26"/>
        <v>0.16666666666666666</v>
      </c>
      <c r="AK56" s="527" t="s">
        <v>83</v>
      </c>
      <c r="AL56" s="495" t="s">
        <v>84</v>
      </c>
      <c r="AM56" s="555" t="s">
        <v>104</v>
      </c>
      <c r="AN56" s="495" t="s">
        <v>84</v>
      </c>
      <c r="AO56" s="555" t="s">
        <v>97</v>
      </c>
      <c r="AP56" s="496"/>
      <c r="AQ56" s="496"/>
      <c r="AR56" s="496"/>
      <c r="AS56" s="496"/>
      <c r="AT56" s="496">
        <v>0.70799999999999996</v>
      </c>
      <c r="AU56" s="496"/>
      <c r="AV56" s="496"/>
      <c r="AW56" s="127">
        <f t="shared" si="11"/>
        <v>0.70799999999999996</v>
      </c>
      <c r="AX56" s="556"/>
      <c r="AY56" s="556"/>
      <c r="AZ56" s="530"/>
      <c r="BA56" s="129">
        <f t="shared" si="16"/>
        <v>0.70799999999999996</v>
      </c>
      <c r="BB56" s="129">
        <f t="shared" si="27"/>
        <v>5.8999999999999997E-2</v>
      </c>
      <c r="BC56" s="525">
        <v>40</v>
      </c>
      <c r="BD56" s="504">
        <v>45</v>
      </c>
      <c r="BE56" s="525">
        <v>0</v>
      </c>
      <c r="BF56" s="525">
        <v>10</v>
      </c>
      <c r="BG56" s="525">
        <v>0</v>
      </c>
      <c r="BH56" s="525">
        <v>0</v>
      </c>
      <c r="BI56" s="506">
        <f t="shared" si="22"/>
        <v>85</v>
      </c>
      <c r="BJ56" s="506">
        <f t="shared" si="23"/>
        <v>10</v>
      </c>
      <c r="BK56" s="507">
        <f t="shared" si="24"/>
        <v>0</v>
      </c>
      <c r="BL56" s="508">
        <f t="shared" si="25"/>
        <v>95</v>
      </c>
      <c r="BM56" s="531"/>
      <c r="BN56" s="510"/>
      <c r="BO56" s="510"/>
      <c r="BP56" s="510"/>
      <c r="BQ56" s="510"/>
      <c r="BR56" s="510"/>
      <c r="BS56" s="510"/>
      <c r="BT56" s="510"/>
      <c r="BU56" s="510"/>
      <c r="BV56" s="510"/>
      <c r="BW56" s="510"/>
      <c r="BX56" s="510"/>
      <c r="BY56" s="510"/>
      <c r="BZ56" s="510"/>
      <c r="CA56" s="510"/>
      <c r="CB56" s="510"/>
      <c r="CC56" s="510"/>
      <c r="CD56" s="510"/>
      <c r="CE56" s="510"/>
      <c r="CF56" s="510"/>
      <c r="CG56" s="510"/>
      <c r="CH56" s="510"/>
      <c r="CI56" s="510"/>
    </row>
    <row r="57" spans="1:87" ht="13.5" customHeight="1">
      <c r="A57" s="320" t="s">
        <v>231</v>
      </c>
      <c r="B57" s="304" t="s">
        <v>232</v>
      </c>
      <c r="C57" s="42" t="s">
        <v>196</v>
      </c>
      <c r="D57" s="76" t="s">
        <v>69</v>
      </c>
      <c r="E57" s="58" t="s">
        <v>488</v>
      </c>
      <c r="F57" s="173" t="s">
        <v>135</v>
      </c>
      <c r="G57" s="173" t="s">
        <v>135</v>
      </c>
      <c r="H57" s="170" t="s">
        <v>71</v>
      </c>
      <c r="I57" s="210" t="s">
        <v>90</v>
      </c>
      <c r="J57" s="231">
        <v>18</v>
      </c>
      <c r="K57" s="219">
        <v>12</v>
      </c>
      <c r="L57" s="219">
        <v>6</v>
      </c>
      <c r="M57" s="219">
        <v>0</v>
      </c>
      <c r="N57" s="172">
        <f t="shared" si="17"/>
        <v>12</v>
      </c>
      <c r="O57" s="332"/>
      <c r="P57" s="332">
        <v>11</v>
      </c>
      <c r="Q57" s="332">
        <v>1</v>
      </c>
      <c r="R57" s="332"/>
      <c r="S57" s="332"/>
      <c r="T57" s="332"/>
      <c r="U57" s="172">
        <f t="shared" si="20"/>
        <v>6</v>
      </c>
      <c r="V57" s="332"/>
      <c r="W57" s="332">
        <v>6</v>
      </c>
      <c r="X57" s="332"/>
      <c r="Y57" s="332"/>
      <c r="Z57" s="332"/>
      <c r="AA57" s="332"/>
      <c r="AB57" s="172">
        <f t="shared" si="21"/>
        <v>0</v>
      </c>
      <c r="AC57" s="43"/>
      <c r="AD57" s="43"/>
      <c r="AE57" s="43"/>
      <c r="AF57" s="43"/>
      <c r="AG57" s="43"/>
      <c r="AH57" s="43"/>
      <c r="AI57" s="345">
        <f>(L57+M57)/J57</f>
        <v>0.33333333333333331</v>
      </c>
      <c r="AJ57" s="345">
        <f t="shared" si="26"/>
        <v>0</v>
      </c>
      <c r="AK57" s="46" t="s">
        <v>136</v>
      </c>
      <c r="AL57" s="169" t="s">
        <v>71</v>
      </c>
      <c r="AM57" s="210" t="s">
        <v>88</v>
      </c>
      <c r="AN57" s="169" t="s">
        <v>75</v>
      </c>
      <c r="AO57" s="210" t="s">
        <v>115</v>
      </c>
      <c r="AP57" s="244"/>
      <c r="AQ57" s="244"/>
      <c r="AR57" s="258">
        <v>0.82799999999999996</v>
      </c>
      <c r="AS57" s="244"/>
      <c r="AT57" s="258"/>
      <c r="AU57" s="244"/>
      <c r="AV57" s="246"/>
      <c r="AW57" s="127">
        <f t="shared" si="11"/>
        <v>0.82799999999999996</v>
      </c>
      <c r="AX57" s="177"/>
      <c r="AY57" s="177"/>
      <c r="AZ57" s="279"/>
      <c r="BA57" s="129">
        <f t="shared" si="16"/>
        <v>0.82799999999999996</v>
      </c>
      <c r="BB57" s="129">
        <f t="shared" si="27"/>
        <v>4.5999999999999999E-2</v>
      </c>
      <c r="BC57" s="40">
        <v>40</v>
      </c>
      <c r="BD57" s="40">
        <v>45</v>
      </c>
      <c r="BE57" s="40">
        <v>0</v>
      </c>
      <c r="BF57" s="40">
        <v>30</v>
      </c>
      <c r="BG57" s="40">
        <v>0</v>
      </c>
      <c r="BH57" s="40">
        <v>0</v>
      </c>
      <c r="BI57" s="31">
        <f t="shared" si="22"/>
        <v>85</v>
      </c>
      <c r="BJ57" s="31">
        <f t="shared" si="23"/>
        <v>30</v>
      </c>
      <c r="BK57" s="32">
        <f t="shared" si="24"/>
        <v>0</v>
      </c>
      <c r="BL57" s="362">
        <f t="shared" si="25"/>
        <v>115</v>
      </c>
      <c r="BM57" s="367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1:87" s="511" customFormat="1" ht="13.5" customHeight="1">
      <c r="A58" s="488" t="s">
        <v>212</v>
      </c>
      <c r="B58" s="620" t="s">
        <v>213</v>
      </c>
      <c r="C58" s="528" t="s">
        <v>196</v>
      </c>
      <c r="D58" s="528" t="s">
        <v>69</v>
      </c>
      <c r="E58" s="490" t="s">
        <v>488</v>
      </c>
      <c r="F58" s="491" t="s">
        <v>119</v>
      </c>
      <c r="G58" s="491" t="s">
        <v>81</v>
      </c>
      <c r="H58" s="522" t="s">
        <v>71</v>
      </c>
      <c r="I58" s="517" t="s">
        <v>169</v>
      </c>
      <c r="J58" s="231">
        <v>23</v>
      </c>
      <c r="K58" s="219">
        <v>15</v>
      </c>
      <c r="L58" s="219">
        <v>5</v>
      </c>
      <c r="M58" s="219">
        <v>3</v>
      </c>
      <c r="N58" s="494">
        <f t="shared" si="17"/>
        <v>15</v>
      </c>
      <c r="O58" s="332">
        <v>0</v>
      </c>
      <c r="P58" s="332">
        <v>5</v>
      </c>
      <c r="Q58" s="332">
        <v>5</v>
      </c>
      <c r="R58" s="332">
        <v>5</v>
      </c>
      <c r="S58" s="332">
        <v>0</v>
      </c>
      <c r="T58" s="332">
        <v>0</v>
      </c>
      <c r="U58" s="494">
        <f t="shared" si="20"/>
        <v>5</v>
      </c>
      <c r="V58" s="332">
        <v>0</v>
      </c>
      <c r="W58" s="332">
        <v>5</v>
      </c>
      <c r="X58" s="332">
        <v>0</v>
      </c>
      <c r="Y58" s="332">
        <v>0</v>
      </c>
      <c r="Z58" s="332">
        <v>0</v>
      </c>
      <c r="AA58" s="332">
        <v>0</v>
      </c>
      <c r="AB58" s="494">
        <f t="shared" si="21"/>
        <v>3</v>
      </c>
      <c r="AC58" s="43">
        <v>0</v>
      </c>
      <c r="AD58" s="43">
        <v>0</v>
      </c>
      <c r="AE58" s="43">
        <v>3</v>
      </c>
      <c r="AF58" s="43">
        <v>0</v>
      </c>
      <c r="AG58" s="43">
        <v>0</v>
      </c>
      <c r="AH58" s="43">
        <v>0</v>
      </c>
      <c r="AI58" s="345">
        <f>(U58+AB58)/J58</f>
        <v>0.34782608695652173</v>
      </c>
      <c r="AJ58" s="345">
        <f t="shared" si="26"/>
        <v>0.13043478260869565</v>
      </c>
      <c r="AK58" s="491" t="s">
        <v>73</v>
      </c>
      <c r="AL58" s="491" t="s">
        <v>71</v>
      </c>
      <c r="AM58" s="523" t="s">
        <v>96</v>
      </c>
      <c r="AN58" s="491" t="s">
        <v>75</v>
      </c>
      <c r="AO58" s="523" t="s">
        <v>96</v>
      </c>
      <c r="AP58" s="496"/>
      <c r="AQ58" s="496"/>
      <c r="AR58" s="496">
        <v>0.4</v>
      </c>
      <c r="AS58" s="496">
        <v>0.95699999999999996</v>
      </c>
      <c r="AT58" s="496"/>
      <c r="AU58" s="496"/>
      <c r="AV58" s="496"/>
      <c r="AW58" s="127">
        <f t="shared" si="11"/>
        <v>1.357</v>
      </c>
      <c r="AX58" s="556"/>
      <c r="AY58" s="556"/>
      <c r="AZ58" s="502"/>
      <c r="BA58" s="129">
        <f t="shared" si="16"/>
        <v>1.357</v>
      </c>
      <c r="BB58" s="129">
        <f t="shared" si="27"/>
        <v>5.8999999999999997E-2</v>
      </c>
      <c r="BC58" s="525">
        <v>40</v>
      </c>
      <c r="BD58" s="504">
        <v>45</v>
      </c>
      <c r="BE58" s="504">
        <v>10</v>
      </c>
      <c r="BF58" s="504">
        <v>10</v>
      </c>
      <c r="BG58" s="504">
        <v>0</v>
      </c>
      <c r="BH58" s="504">
        <v>0</v>
      </c>
      <c r="BI58" s="506">
        <f t="shared" si="22"/>
        <v>85</v>
      </c>
      <c r="BJ58" s="506">
        <f t="shared" si="23"/>
        <v>20</v>
      </c>
      <c r="BK58" s="507">
        <f t="shared" si="24"/>
        <v>0</v>
      </c>
      <c r="BL58" s="508">
        <f t="shared" si="25"/>
        <v>105</v>
      </c>
      <c r="BM58" s="520"/>
      <c r="BN58" s="510"/>
      <c r="BO58" s="510"/>
      <c r="BP58" s="510"/>
      <c r="BQ58" s="510"/>
      <c r="BR58" s="510"/>
      <c r="BS58" s="510"/>
      <c r="BT58" s="510"/>
      <c r="BU58" s="510"/>
      <c r="BV58" s="510"/>
      <c r="BW58" s="510"/>
      <c r="BX58" s="510"/>
      <c r="BY58" s="510"/>
      <c r="BZ58" s="510"/>
      <c r="CA58" s="510"/>
      <c r="CB58" s="510"/>
      <c r="CC58" s="510"/>
      <c r="CD58" s="510"/>
      <c r="CE58" s="510"/>
      <c r="CF58" s="510"/>
      <c r="CG58" s="510"/>
      <c r="CH58" s="510"/>
      <c r="CI58" s="510"/>
    </row>
    <row r="59" spans="1:87" s="511" customFormat="1" ht="13.5" customHeight="1">
      <c r="A59" s="526" t="s">
        <v>221</v>
      </c>
      <c r="B59" s="621" t="s">
        <v>222</v>
      </c>
      <c r="C59" s="527" t="s">
        <v>196</v>
      </c>
      <c r="D59" s="528" t="s">
        <v>69</v>
      </c>
      <c r="E59" s="490" t="s">
        <v>488</v>
      </c>
      <c r="F59" s="527" t="s">
        <v>81</v>
      </c>
      <c r="G59" s="527" t="s">
        <v>81</v>
      </c>
      <c r="H59" s="492" t="s">
        <v>71</v>
      </c>
      <c r="I59" s="529" t="s">
        <v>110</v>
      </c>
      <c r="J59" s="231">
        <v>6</v>
      </c>
      <c r="K59" s="219">
        <f>O59+P59+Q59+R59+S59+T59</f>
        <v>0</v>
      </c>
      <c r="L59" s="219">
        <v>3</v>
      </c>
      <c r="M59" s="219">
        <v>3</v>
      </c>
      <c r="N59" s="494">
        <f t="shared" si="17"/>
        <v>0</v>
      </c>
      <c r="O59" s="332">
        <v>0</v>
      </c>
      <c r="P59" s="332">
        <v>0</v>
      </c>
      <c r="Q59" s="332">
        <v>0</v>
      </c>
      <c r="R59" s="332">
        <v>0</v>
      </c>
      <c r="S59" s="332">
        <v>0</v>
      </c>
      <c r="T59" s="332">
        <v>0</v>
      </c>
      <c r="U59" s="494">
        <f t="shared" si="20"/>
        <v>0</v>
      </c>
      <c r="V59" s="332">
        <v>0</v>
      </c>
      <c r="W59" s="332">
        <v>0</v>
      </c>
      <c r="X59" s="332">
        <v>0</v>
      </c>
      <c r="Y59" s="332">
        <v>0</v>
      </c>
      <c r="Z59" s="332">
        <v>0</v>
      </c>
      <c r="AA59" s="332">
        <v>0</v>
      </c>
      <c r="AB59" s="494">
        <f t="shared" si="21"/>
        <v>6</v>
      </c>
      <c r="AC59" s="43">
        <v>0</v>
      </c>
      <c r="AD59" s="43">
        <v>6</v>
      </c>
      <c r="AE59" s="43">
        <v>0</v>
      </c>
      <c r="AF59" s="43">
        <v>0</v>
      </c>
      <c r="AG59" s="43">
        <v>0</v>
      </c>
      <c r="AH59" s="43">
        <v>0</v>
      </c>
      <c r="AI59" s="345">
        <f>(L59+M59)/J59</f>
        <v>1</v>
      </c>
      <c r="AJ59" s="345">
        <f t="shared" si="26"/>
        <v>1</v>
      </c>
      <c r="AK59" s="527" t="s">
        <v>83</v>
      </c>
      <c r="AL59" s="495" t="s">
        <v>71</v>
      </c>
      <c r="AM59" s="529" t="s">
        <v>85</v>
      </c>
      <c r="AN59" s="495" t="s">
        <v>71</v>
      </c>
      <c r="AO59" s="529" t="s">
        <v>96</v>
      </c>
      <c r="AP59" s="496"/>
      <c r="AQ59" s="496"/>
      <c r="AR59" s="532">
        <v>0.35399999999999998</v>
      </c>
      <c r="AS59" s="496"/>
      <c r="AT59" s="532"/>
      <c r="AU59" s="496"/>
      <c r="AV59" s="496"/>
      <c r="AW59" s="127">
        <f t="shared" si="11"/>
        <v>0.35399999999999998</v>
      </c>
      <c r="AX59" s="556"/>
      <c r="AY59" s="556"/>
      <c r="AZ59" s="530"/>
      <c r="BA59" s="129">
        <f t="shared" si="16"/>
        <v>0.35399999999999998</v>
      </c>
      <c r="BB59" s="129">
        <f t="shared" si="27"/>
        <v>5.8999999999999997E-2</v>
      </c>
      <c r="BC59" s="525">
        <v>40</v>
      </c>
      <c r="BD59" s="504">
        <v>45</v>
      </c>
      <c r="BE59" s="525">
        <v>50</v>
      </c>
      <c r="BF59" s="525">
        <v>30</v>
      </c>
      <c r="BG59" s="525">
        <v>0</v>
      </c>
      <c r="BH59" s="525">
        <v>0</v>
      </c>
      <c r="BI59" s="506">
        <f t="shared" si="22"/>
        <v>85</v>
      </c>
      <c r="BJ59" s="506">
        <f t="shared" si="23"/>
        <v>80</v>
      </c>
      <c r="BK59" s="507">
        <f t="shared" si="24"/>
        <v>0</v>
      </c>
      <c r="BL59" s="508">
        <f t="shared" si="25"/>
        <v>165</v>
      </c>
      <c r="BM59" s="531"/>
      <c r="BN59" s="510"/>
      <c r="BO59" s="510"/>
      <c r="BP59" s="510"/>
      <c r="BQ59" s="510"/>
      <c r="BR59" s="510"/>
      <c r="BS59" s="510"/>
      <c r="BT59" s="510"/>
      <c r="BU59" s="510"/>
      <c r="BV59" s="510"/>
      <c r="BW59" s="510"/>
      <c r="BX59" s="510"/>
      <c r="BY59" s="510"/>
      <c r="BZ59" s="510"/>
      <c r="CA59" s="510"/>
      <c r="CB59" s="510"/>
      <c r="CC59" s="510"/>
      <c r="CD59" s="510"/>
      <c r="CE59" s="510"/>
      <c r="CF59" s="510"/>
      <c r="CG59" s="510"/>
      <c r="CH59" s="510"/>
      <c r="CI59" s="510"/>
    </row>
    <row r="60" spans="1:87" s="511" customFormat="1" ht="13.5" customHeight="1">
      <c r="A60" s="526" t="s">
        <v>233</v>
      </c>
      <c r="B60" s="621" t="s">
        <v>234</v>
      </c>
      <c r="C60" s="527" t="s">
        <v>235</v>
      </c>
      <c r="D60" s="557" t="s">
        <v>130</v>
      </c>
      <c r="E60" s="557" t="s">
        <v>489</v>
      </c>
      <c r="F60" s="527" t="s">
        <v>119</v>
      </c>
      <c r="G60" s="527" t="s">
        <v>81</v>
      </c>
      <c r="H60" s="492" t="s">
        <v>109</v>
      </c>
      <c r="I60" s="529" t="s">
        <v>104</v>
      </c>
      <c r="J60" s="231">
        <v>34</v>
      </c>
      <c r="K60" s="219">
        <v>24</v>
      </c>
      <c r="L60" s="219">
        <v>8</v>
      </c>
      <c r="M60" s="219">
        <v>2</v>
      </c>
      <c r="N60" s="494">
        <f t="shared" si="17"/>
        <v>24</v>
      </c>
      <c r="O60" s="332">
        <v>0</v>
      </c>
      <c r="P60" s="332">
        <v>11</v>
      </c>
      <c r="Q60" s="332">
        <v>11</v>
      </c>
      <c r="R60" s="332">
        <v>2</v>
      </c>
      <c r="S60" s="332">
        <v>0</v>
      </c>
      <c r="T60" s="332">
        <v>0</v>
      </c>
      <c r="U60" s="494">
        <f t="shared" si="20"/>
        <v>8</v>
      </c>
      <c r="V60" s="332">
        <v>0</v>
      </c>
      <c r="W60" s="332">
        <v>8</v>
      </c>
      <c r="X60" s="332">
        <v>0</v>
      </c>
      <c r="Y60" s="332">
        <v>0</v>
      </c>
      <c r="Z60" s="332">
        <v>0</v>
      </c>
      <c r="AA60" s="332">
        <v>0</v>
      </c>
      <c r="AB60" s="494">
        <f t="shared" si="21"/>
        <v>2</v>
      </c>
      <c r="AC60" s="37">
        <v>0</v>
      </c>
      <c r="AD60" s="37">
        <v>1</v>
      </c>
      <c r="AE60" s="37">
        <v>1</v>
      </c>
      <c r="AF60" s="37">
        <v>0</v>
      </c>
      <c r="AG60" s="37">
        <v>0</v>
      </c>
      <c r="AH60" s="37">
        <v>0</v>
      </c>
      <c r="AI60" s="345">
        <f>(L60+M60)/J60</f>
        <v>0.29411764705882354</v>
      </c>
      <c r="AJ60" s="345">
        <f t="shared" si="26"/>
        <v>5.8823529411764705E-2</v>
      </c>
      <c r="AK60" s="527" t="s">
        <v>73</v>
      </c>
      <c r="AL60" s="495" t="s">
        <v>109</v>
      </c>
      <c r="AM60" s="529" t="s">
        <v>104</v>
      </c>
      <c r="AN60" s="558" t="s">
        <v>75</v>
      </c>
      <c r="AO60" s="529" t="s">
        <v>97</v>
      </c>
      <c r="AP60" s="496"/>
      <c r="AQ60" s="496">
        <v>1</v>
      </c>
      <c r="AR60" s="496">
        <v>0.40600000000000003</v>
      </c>
      <c r="AS60" s="496"/>
      <c r="AT60" s="496"/>
      <c r="AU60" s="496"/>
      <c r="AV60" s="496"/>
      <c r="AW60" s="127">
        <f t="shared" si="11"/>
        <v>1.4060000000000001</v>
      </c>
      <c r="AX60" s="518">
        <v>0.6</v>
      </c>
      <c r="AY60" s="518"/>
      <c r="AZ60" s="559"/>
      <c r="BA60" s="129">
        <f t="shared" si="16"/>
        <v>2.0060000000000002</v>
      </c>
      <c r="BB60" s="129">
        <f t="shared" si="27"/>
        <v>5.9000000000000004E-2</v>
      </c>
      <c r="BC60" s="504">
        <v>50</v>
      </c>
      <c r="BD60" s="504">
        <v>45</v>
      </c>
      <c r="BE60" s="504">
        <v>0</v>
      </c>
      <c r="BF60" s="504">
        <v>30</v>
      </c>
      <c r="BG60" s="504">
        <v>0</v>
      </c>
      <c r="BH60" s="504">
        <v>0</v>
      </c>
      <c r="BI60" s="506">
        <f t="shared" si="22"/>
        <v>95</v>
      </c>
      <c r="BJ60" s="506">
        <f t="shared" si="23"/>
        <v>30</v>
      </c>
      <c r="BK60" s="507">
        <f t="shared" si="24"/>
        <v>0</v>
      </c>
      <c r="BL60" s="508">
        <f t="shared" si="25"/>
        <v>125</v>
      </c>
      <c r="BM60" s="560"/>
      <c r="BN60" s="510"/>
      <c r="BO60" s="561"/>
      <c r="BP60" s="562"/>
      <c r="BQ60" s="562"/>
      <c r="BR60" s="562"/>
      <c r="BS60" s="562"/>
      <c r="BT60" s="562"/>
      <c r="BU60" s="562"/>
      <c r="BV60" s="562"/>
      <c r="BW60" s="562"/>
      <c r="BX60" s="562"/>
      <c r="BY60" s="510"/>
      <c r="BZ60" s="510"/>
      <c r="CA60" s="510"/>
      <c r="CB60" s="510"/>
      <c r="CC60" s="510"/>
      <c r="CD60" s="510"/>
      <c r="CE60" s="510"/>
      <c r="CF60" s="510"/>
      <c r="CG60" s="510"/>
      <c r="CH60" s="510"/>
      <c r="CI60" s="510"/>
    </row>
    <row r="61" spans="1:87" ht="13.5" customHeight="1">
      <c r="A61" s="318" t="s">
        <v>236</v>
      </c>
      <c r="B61" s="95" t="s">
        <v>237</v>
      </c>
      <c r="C61" s="76" t="s">
        <v>238</v>
      </c>
      <c r="D61" s="76" t="s">
        <v>80</v>
      </c>
      <c r="E61" s="76" t="s">
        <v>491</v>
      </c>
      <c r="F61" s="173" t="s">
        <v>70</v>
      </c>
      <c r="G61" s="173" t="s">
        <v>70</v>
      </c>
      <c r="H61" s="170" t="s">
        <v>84</v>
      </c>
      <c r="I61" s="171" t="s">
        <v>72</v>
      </c>
      <c r="J61" s="231">
        <v>12</v>
      </c>
      <c r="K61" s="219">
        <v>6</v>
      </c>
      <c r="L61" s="219">
        <v>6</v>
      </c>
      <c r="M61" s="219">
        <v>0</v>
      </c>
      <c r="N61" s="172">
        <f t="shared" si="17"/>
        <v>6</v>
      </c>
      <c r="O61" s="332"/>
      <c r="P61" s="332">
        <v>6</v>
      </c>
      <c r="Q61" s="332"/>
      <c r="R61" s="332"/>
      <c r="S61" s="332"/>
      <c r="T61" s="332"/>
      <c r="U61" s="172">
        <f t="shared" si="20"/>
        <v>6</v>
      </c>
      <c r="V61" s="332"/>
      <c r="W61" s="332">
        <v>6</v>
      </c>
      <c r="X61" s="332"/>
      <c r="Y61" s="332"/>
      <c r="Z61" s="332"/>
      <c r="AA61" s="332"/>
      <c r="AB61" s="172">
        <f t="shared" si="21"/>
        <v>0</v>
      </c>
      <c r="AC61" s="43"/>
      <c r="AD61" s="43"/>
      <c r="AE61" s="43"/>
      <c r="AF61" s="43"/>
      <c r="AG61" s="43"/>
      <c r="AH61" s="43"/>
      <c r="AI61" s="345">
        <f>(L61+M61)/J61</f>
        <v>0.5</v>
      </c>
      <c r="AJ61" s="345">
        <f t="shared" si="26"/>
        <v>0</v>
      </c>
      <c r="AK61" s="46" t="s">
        <v>73</v>
      </c>
      <c r="AL61" s="169" t="s">
        <v>84</v>
      </c>
      <c r="AM61" s="173" t="s">
        <v>72</v>
      </c>
      <c r="AN61" s="169" t="s">
        <v>89</v>
      </c>
      <c r="AO61" s="173" t="s">
        <v>110</v>
      </c>
      <c r="AP61" s="253"/>
      <c r="AQ61" s="253"/>
      <c r="AR61" s="252"/>
      <c r="AS61" s="253"/>
      <c r="AT61" s="253">
        <v>0.91200000000000003</v>
      </c>
      <c r="AU61" s="252"/>
      <c r="AV61" s="175"/>
      <c r="AW61" s="127">
        <f t="shared" si="11"/>
        <v>0.91200000000000003</v>
      </c>
      <c r="AX61" s="176"/>
      <c r="AY61" s="176"/>
      <c r="AZ61" s="176"/>
      <c r="BA61" s="129">
        <f t="shared" si="16"/>
        <v>0.91200000000000003</v>
      </c>
      <c r="BB61" s="129">
        <f t="shared" si="27"/>
        <v>7.5999999999999998E-2</v>
      </c>
      <c r="BC61" s="54">
        <v>30</v>
      </c>
      <c r="BD61" s="54">
        <v>30</v>
      </c>
      <c r="BE61" s="54">
        <v>0</v>
      </c>
      <c r="BF61" s="54">
        <v>30</v>
      </c>
      <c r="BG61" s="54">
        <v>0</v>
      </c>
      <c r="BH61" s="54">
        <v>0</v>
      </c>
      <c r="BI61" s="31">
        <f t="shared" si="22"/>
        <v>60</v>
      </c>
      <c r="BJ61" s="31">
        <f t="shared" si="23"/>
        <v>30</v>
      </c>
      <c r="BK61" s="32">
        <f t="shared" si="24"/>
        <v>0</v>
      </c>
      <c r="BL61" s="362">
        <f t="shared" si="25"/>
        <v>90</v>
      </c>
      <c r="BM61" s="366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</row>
    <row r="62" spans="1:87" s="511" customFormat="1" ht="12.75" customHeight="1">
      <c r="A62" s="563" t="s">
        <v>508</v>
      </c>
      <c r="B62" s="622" t="s">
        <v>239</v>
      </c>
      <c r="C62" s="527" t="s">
        <v>240</v>
      </c>
      <c r="D62" s="528" t="s">
        <v>157</v>
      </c>
      <c r="E62" s="528" t="s">
        <v>489</v>
      </c>
      <c r="F62" s="564" t="s">
        <v>119</v>
      </c>
      <c r="G62" s="564" t="s">
        <v>81</v>
      </c>
      <c r="H62" s="492" t="s">
        <v>109</v>
      </c>
      <c r="I62" s="565" t="s">
        <v>85</v>
      </c>
      <c r="J62" s="231">
        <v>30</v>
      </c>
      <c r="K62" s="219">
        <v>21</v>
      </c>
      <c r="L62" s="219">
        <v>5</v>
      </c>
      <c r="M62" s="219">
        <v>4</v>
      </c>
      <c r="N62" s="494">
        <f t="shared" si="17"/>
        <v>21</v>
      </c>
      <c r="O62" s="332"/>
      <c r="P62" s="332">
        <v>3</v>
      </c>
      <c r="Q62" s="332">
        <v>14</v>
      </c>
      <c r="R62" s="332">
        <v>4</v>
      </c>
      <c r="S62" s="332"/>
      <c r="T62" s="332"/>
      <c r="U62" s="494">
        <f t="shared" si="20"/>
        <v>5</v>
      </c>
      <c r="V62" s="332"/>
      <c r="W62" s="332">
        <v>4</v>
      </c>
      <c r="X62" s="332"/>
      <c r="Y62" s="332"/>
      <c r="Z62" s="332">
        <v>1</v>
      </c>
      <c r="AA62" s="332"/>
      <c r="AB62" s="494">
        <f t="shared" si="21"/>
        <v>4</v>
      </c>
      <c r="AC62" s="43"/>
      <c r="AD62" s="43">
        <v>3</v>
      </c>
      <c r="AE62" s="43">
        <v>1</v>
      </c>
      <c r="AF62" s="43"/>
      <c r="AG62" s="43"/>
      <c r="AH62" s="43"/>
      <c r="AI62" s="345">
        <f>(L62+M62)/J62</f>
        <v>0.3</v>
      </c>
      <c r="AJ62" s="345">
        <f t="shared" si="26"/>
        <v>0.13333333333333333</v>
      </c>
      <c r="AK62" s="491" t="s">
        <v>73</v>
      </c>
      <c r="AL62" s="495" t="s">
        <v>109</v>
      </c>
      <c r="AM62" s="565" t="s">
        <v>72</v>
      </c>
      <c r="AN62" s="495" t="s">
        <v>71</v>
      </c>
      <c r="AO62" s="565" t="s">
        <v>85</v>
      </c>
      <c r="AP62" s="498"/>
      <c r="AQ62" s="498">
        <v>0.9</v>
      </c>
      <c r="AR62" s="566">
        <v>0.87</v>
      </c>
      <c r="AS62" s="496"/>
      <c r="AT62" s="496"/>
      <c r="AU62" s="566"/>
      <c r="AV62" s="500"/>
      <c r="AW62" s="127">
        <f t="shared" si="11"/>
        <v>1.77</v>
      </c>
      <c r="AX62" s="525"/>
      <c r="AY62" s="525"/>
      <c r="AZ62" s="530"/>
      <c r="BA62" s="129">
        <f t="shared" si="16"/>
        <v>1.77</v>
      </c>
      <c r="BB62" s="129">
        <f t="shared" si="27"/>
        <v>5.9000000000000004E-2</v>
      </c>
      <c r="BC62" s="525">
        <v>50</v>
      </c>
      <c r="BD62" s="525">
        <v>15</v>
      </c>
      <c r="BE62" s="525">
        <v>0</v>
      </c>
      <c r="BF62" s="525">
        <v>10</v>
      </c>
      <c r="BG62" s="525">
        <v>0</v>
      </c>
      <c r="BH62" s="525">
        <v>0</v>
      </c>
      <c r="BI62" s="506">
        <f t="shared" si="22"/>
        <v>65</v>
      </c>
      <c r="BJ62" s="506">
        <f t="shared" si="23"/>
        <v>10</v>
      </c>
      <c r="BK62" s="507">
        <f t="shared" si="24"/>
        <v>0</v>
      </c>
      <c r="BL62" s="508">
        <f t="shared" si="25"/>
        <v>75</v>
      </c>
      <c r="BM62" s="531"/>
      <c r="BN62" s="510"/>
      <c r="BO62" s="510"/>
      <c r="BP62" s="510"/>
      <c r="BQ62" s="510"/>
      <c r="BR62" s="510"/>
      <c r="BS62" s="510"/>
      <c r="BT62" s="510"/>
      <c r="BU62" s="510"/>
      <c r="BV62" s="510"/>
      <c r="BW62" s="510"/>
      <c r="BX62" s="510"/>
      <c r="BY62" s="510"/>
      <c r="BZ62" s="510"/>
      <c r="CA62" s="510"/>
      <c r="CB62" s="510"/>
      <c r="CC62" s="510"/>
      <c r="CD62" s="510"/>
      <c r="CE62" s="510"/>
      <c r="CF62" s="510"/>
      <c r="CG62" s="510"/>
      <c r="CH62" s="510"/>
      <c r="CI62" s="510"/>
    </row>
    <row r="63" spans="1:87" ht="12.75" customHeight="1">
      <c r="A63" s="318" t="s">
        <v>242</v>
      </c>
      <c r="B63" s="612" t="s">
        <v>243</v>
      </c>
      <c r="C63" s="76" t="s">
        <v>241</v>
      </c>
      <c r="D63" s="42" t="s">
        <v>241</v>
      </c>
      <c r="E63" s="42"/>
      <c r="F63" s="173" t="s">
        <v>81</v>
      </c>
      <c r="G63" s="173" t="s">
        <v>81</v>
      </c>
      <c r="H63" s="189" t="s">
        <v>109</v>
      </c>
      <c r="I63" s="188" t="s">
        <v>110</v>
      </c>
      <c r="J63" s="231">
        <v>25</v>
      </c>
      <c r="K63" s="219">
        <v>18</v>
      </c>
      <c r="L63" s="219">
        <v>6</v>
      </c>
      <c r="M63" s="219">
        <v>1</v>
      </c>
      <c r="N63" s="172">
        <f t="shared" si="17"/>
        <v>25</v>
      </c>
      <c r="O63" s="332">
        <v>0</v>
      </c>
      <c r="P63" s="332">
        <v>10</v>
      </c>
      <c r="Q63" s="332">
        <v>15</v>
      </c>
      <c r="R63" s="332">
        <v>0</v>
      </c>
      <c r="S63" s="332">
        <v>0</v>
      </c>
      <c r="T63" s="332">
        <v>0</v>
      </c>
      <c r="U63" s="172">
        <f t="shared" si="20"/>
        <v>0</v>
      </c>
      <c r="V63" s="332">
        <v>0</v>
      </c>
      <c r="W63" s="332">
        <v>0</v>
      </c>
      <c r="X63" s="332">
        <v>0</v>
      </c>
      <c r="Y63" s="332">
        <v>0</v>
      </c>
      <c r="Z63" s="332">
        <v>0</v>
      </c>
      <c r="AA63" s="332">
        <v>0</v>
      </c>
      <c r="AB63" s="172">
        <f t="shared" si="21"/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45">
        <f t="shared" ref="AI63:AI68" si="28">(U63+AB63)/J63</f>
        <v>0</v>
      </c>
      <c r="AJ63" s="345">
        <f t="shared" si="26"/>
        <v>0</v>
      </c>
      <c r="AK63" s="46" t="s">
        <v>73</v>
      </c>
      <c r="AL63" s="173" t="s">
        <v>109</v>
      </c>
      <c r="AM63" s="243" t="s">
        <v>110</v>
      </c>
      <c r="AN63" s="173" t="s">
        <v>109</v>
      </c>
      <c r="AO63" s="208" t="s">
        <v>97</v>
      </c>
      <c r="AP63" s="248"/>
      <c r="AQ63" s="248">
        <v>1</v>
      </c>
      <c r="AR63" s="248"/>
      <c r="AS63" s="248"/>
      <c r="AT63" s="248"/>
      <c r="AU63" s="248"/>
      <c r="AV63" s="248"/>
      <c r="AW63" s="127">
        <f t="shared" si="11"/>
        <v>1</v>
      </c>
      <c r="AX63" s="286"/>
      <c r="AY63" s="286"/>
      <c r="AZ63" s="176"/>
      <c r="BA63" s="129">
        <f t="shared" si="16"/>
        <v>1</v>
      </c>
      <c r="BB63" s="129">
        <f t="shared" si="27"/>
        <v>0.04</v>
      </c>
      <c r="BC63" s="54">
        <v>0</v>
      </c>
      <c r="BD63" s="54">
        <v>0</v>
      </c>
      <c r="BE63" s="54">
        <v>0</v>
      </c>
      <c r="BF63" s="54">
        <v>70</v>
      </c>
      <c r="BG63" s="54">
        <v>0</v>
      </c>
      <c r="BH63" s="54">
        <v>20</v>
      </c>
      <c r="BI63" s="31">
        <f t="shared" si="22"/>
        <v>0</v>
      </c>
      <c r="BJ63" s="31">
        <f t="shared" si="23"/>
        <v>70</v>
      </c>
      <c r="BK63" s="32">
        <f t="shared" si="24"/>
        <v>20</v>
      </c>
      <c r="BL63" s="362">
        <f t="shared" si="25"/>
        <v>90</v>
      </c>
      <c r="BM63" s="366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</row>
    <row r="64" spans="1:87" ht="12.75" customHeight="1">
      <c r="A64" s="321" t="s">
        <v>509</v>
      </c>
      <c r="B64" s="612" t="s">
        <v>244</v>
      </c>
      <c r="C64" s="76" t="s">
        <v>241</v>
      </c>
      <c r="D64" s="42" t="s">
        <v>241</v>
      </c>
      <c r="E64" s="42"/>
      <c r="F64" s="173" t="s">
        <v>81</v>
      </c>
      <c r="G64" s="173" t="s">
        <v>81</v>
      </c>
      <c r="H64" s="189" t="s">
        <v>109</v>
      </c>
      <c r="I64" s="188" t="s">
        <v>96</v>
      </c>
      <c r="J64" s="218">
        <v>25</v>
      </c>
      <c r="K64" s="219">
        <v>18</v>
      </c>
      <c r="L64" s="219">
        <v>6</v>
      </c>
      <c r="M64" s="219">
        <v>1</v>
      </c>
      <c r="N64" s="172">
        <f t="shared" si="17"/>
        <v>25</v>
      </c>
      <c r="O64" s="332">
        <v>0</v>
      </c>
      <c r="P64" s="332">
        <v>10</v>
      </c>
      <c r="Q64" s="332">
        <v>15</v>
      </c>
      <c r="R64" s="332">
        <v>0</v>
      </c>
      <c r="S64" s="332">
        <v>0</v>
      </c>
      <c r="T64" s="332">
        <v>0</v>
      </c>
      <c r="U64" s="172">
        <f t="shared" si="20"/>
        <v>0</v>
      </c>
      <c r="V64" s="332">
        <v>0</v>
      </c>
      <c r="W64" s="332">
        <v>0</v>
      </c>
      <c r="X64" s="332">
        <v>0</v>
      </c>
      <c r="Y64" s="332">
        <v>0</v>
      </c>
      <c r="Z64" s="332">
        <v>0</v>
      </c>
      <c r="AA64" s="332">
        <v>0</v>
      </c>
      <c r="AB64" s="172">
        <f t="shared" si="21"/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345">
        <f t="shared" si="28"/>
        <v>0</v>
      </c>
      <c r="AJ64" s="345">
        <f t="shared" si="26"/>
        <v>0</v>
      </c>
      <c r="AK64" s="46" t="s">
        <v>73</v>
      </c>
      <c r="AL64" s="173" t="s">
        <v>109</v>
      </c>
      <c r="AM64" s="243" t="s">
        <v>96</v>
      </c>
      <c r="AN64" s="173" t="s">
        <v>109</v>
      </c>
      <c r="AO64" s="208" t="s">
        <v>97</v>
      </c>
      <c r="AP64" s="248"/>
      <c r="AQ64" s="248">
        <v>1</v>
      </c>
      <c r="AR64" s="248"/>
      <c r="AS64" s="248"/>
      <c r="AT64" s="248"/>
      <c r="AU64" s="248"/>
      <c r="AV64" s="248"/>
      <c r="AW64" s="127">
        <f t="shared" si="11"/>
        <v>1</v>
      </c>
      <c r="AX64" s="286"/>
      <c r="AY64" s="286"/>
      <c r="AZ64" s="176"/>
      <c r="BA64" s="129">
        <f t="shared" si="16"/>
        <v>1</v>
      </c>
      <c r="BB64" s="129">
        <f t="shared" si="27"/>
        <v>0.04</v>
      </c>
      <c r="BC64" s="54">
        <v>0</v>
      </c>
      <c r="BD64" s="54">
        <v>0</v>
      </c>
      <c r="BE64" s="54">
        <v>0</v>
      </c>
      <c r="BF64" s="54">
        <v>70</v>
      </c>
      <c r="BG64" s="54">
        <v>0</v>
      </c>
      <c r="BH64" s="54">
        <v>20</v>
      </c>
      <c r="BI64" s="31">
        <f t="shared" si="22"/>
        <v>0</v>
      </c>
      <c r="BJ64" s="31">
        <f t="shared" si="23"/>
        <v>70</v>
      </c>
      <c r="BK64" s="32">
        <f t="shared" si="24"/>
        <v>20</v>
      </c>
      <c r="BL64" s="362">
        <f t="shared" si="25"/>
        <v>90</v>
      </c>
      <c r="BM64" s="366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</row>
    <row r="65" spans="1:87" ht="12.75" customHeight="1">
      <c r="A65" s="318" t="s">
        <v>247</v>
      </c>
      <c r="B65" s="620" t="s">
        <v>248</v>
      </c>
      <c r="C65" s="76" t="s">
        <v>241</v>
      </c>
      <c r="D65" s="42" t="s">
        <v>241</v>
      </c>
      <c r="E65" s="42"/>
      <c r="F65" s="173" t="s">
        <v>81</v>
      </c>
      <c r="G65" s="173" t="s">
        <v>81</v>
      </c>
      <c r="H65" s="189" t="s">
        <v>71</v>
      </c>
      <c r="I65" s="190" t="s">
        <v>96</v>
      </c>
      <c r="J65" s="220">
        <v>50</v>
      </c>
      <c r="K65" s="219">
        <v>50</v>
      </c>
      <c r="L65" s="219">
        <v>0</v>
      </c>
      <c r="M65" s="219">
        <v>0</v>
      </c>
      <c r="N65" s="172">
        <f t="shared" si="17"/>
        <v>50</v>
      </c>
      <c r="O65" s="178">
        <v>0</v>
      </c>
      <c r="P65" s="178">
        <v>20</v>
      </c>
      <c r="Q65" s="178">
        <v>30</v>
      </c>
      <c r="R65" s="178">
        <v>0</v>
      </c>
      <c r="S65" s="178">
        <v>0</v>
      </c>
      <c r="T65" s="178">
        <v>0</v>
      </c>
      <c r="U65" s="172">
        <f t="shared" si="20"/>
        <v>0</v>
      </c>
      <c r="V65" s="178">
        <v>0</v>
      </c>
      <c r="W65" s="178">
        <v>0</v>
      </c>
      <c r="X65" s="178">
        <v>0</v>
      </c>
      <c r="Y65" s="178">
        <v>0</v>
      </c>
      <c r="Z65" s="178">
        <v>0</v>
      </c>
      <c r="AA65" s="178">
        <v>0</v>
      </c>
      <c r="AB65" s="172">
        <f t="shared" si="21"/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45">
        <f t="shared" si="28"/>
        <v>0</v>
      </c>
      <c r="AJ65" s="345">
        <f t="shared" si="26"/>
        <v>0</v>
      </c>
      <c r="AK65" s="46" t="s">
        <v>73</v>
      </c>
      <c r="AL65" s="173" t="s">
        <v>71</v>
      </c>
      <c r="AM65" s="208" t="s">
        <v>96</v>
      </c>
      <c r="AN65" s="173" t="s">
        <v>71</v>
      </c>
      <c r="AO65" s="208" t="s">
        <v>97</v>
      </c>
      <c r="AP65" s="248"/>
      <c r="AQ65" s="248"/>
      <c r="AR65" s="248">
        <v>2</v>
      </c>
      <c r="AS65" s="248"/>
      <c r="AT65" s="248"/>
      <c r="AU65" s="248"/>
      <c r="AV65" s="248"/>
      <c r="AW65" s="127">
        <f t="shared" si="11"/>
        <v>2</v>
      </c>
      <c r="AX65" s="286"/>
      <c r="AY65" s="286"/>
      <c r="AZ65" s="176"/>
      <c r="BA65" s="129">
        <f t="shared" si="16"/>
        <v>2</v>
      </c>
      <c r="BB65" s="129">
        <f t="shared" si="27"/>
        <v>0.04</v>
      </c>
      <c r="BC65" s="54">
        <v>0</v>
      </c>
      <c r="BD65" s="54">
        <v>0</v>
      </c>
      <c r="BE65" s="54">
        <v>0</v>
      </c>
      <c r="BF65" s="54">
        <v>70</v>
      </c>
      <c r="BG65" s="54">
        <v>0</v>
      </c>
      <c r="BH65" s="54">
        <v>20</v>
      </c>
      <c r="BI65" s="31">
        <f t="shared" si="22"/>
        <v>0</v>
      </c>
      <c r="BJ65" s="31">
        <f t="shared" si="23"/>
        <v>70</v>
      </c>
      <c r="BK65" s="32">
        <f t="shared" si="24"/>
        <v>20</v>
      </c>
      <c r="BL65" s="362">
        <f t="shared" si="25"/>
        <v>90</v>
      </c>
      <c r="BM65" s="366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</row>
    <row r="66" spans="1:87" ht="12.75" customHeight="1">
      <c r="A66" s="318" t="s">
        <v>249</v>
      </c>
      <c r="B66" s="620" t="s">
        <v>250</v>
      </c>
      <c r="C66" s="76" t="s">
        <v>241</v>
      </c>
      <c r="D66" s="42" t="s">
        <v>241</v>
      </c>
      <c r="E66" s="42"/>
      <c r="F66" s="173" t="s">
        <v>81</v>
      </c>
      <c r="G66" s="173" t="s">
        <v>81</v>
      </c>
      <c r="H66" s="189" t="s">
        <v>75</v>
      </c>
      <c r="I66" s="190" t="s">
        <v>96</v>
      </c>
      <c r="J66" s="220">
        <v>50</v>
      </c>
      <c r="K66" s="219">
        <v>50</v>
      </c>
      <c r="L66" s="219">
        <v>0</v>
      </c>
      <c r="M66" s="219">
        <v>0</v>
      </c>
      <c r="N66" s="172">
        <f t="shared" si="17"/>
        <v>50</v>
      </c>
      <c r="O66" s="178">
        <v>0</v>
      </c>
      <c r="P66" s="178">
        <v>20</v>
      </c>
      <c r="Q66" s="178">
        <v>30</v>
      </c>
      <c r="R66" s="178">
        <v>0</v>
      </c>
      <c r="S66" s="178">
        <v>0</v>
      </c>
      <c r="T66" s="178">
        <v>0</v>
      </c>
      <c r="U66" s="172">
        <f t="shared" si="20"/>
        <v>0</v>
      </c>
      <c r="V66" s="178">
        <v>0</v>
      </c>
      <c r="W66" s="178">
        <v>0</v>
      </c>
      <c r="X66" s="178">
        <v>0</v>
      </c>
      <c r="Y66" s="178">
        <v>0</v>
      </c>
      <c r="Z66" s="178">
        <v>0</v>
      </c>
      <c r="AA66" s="178">
        <v>0</v>
      </c>
      <c r="AB66" s="172">
        <f t="shared" si="21"/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345">
        <f t="shared" si="28"/>
        <v>0</v>
      </c>
      <c r="AJ66" s="345">
        <f t="shared" si="26"/>
        <v>0</v>
      </c>
      <c r="AK66" s="46" t="s">
        <v>73</v>
      </c>
      <c r="AL66" s="173" t="s">
        <v>75</v>
      </c>
      <c r="AM66" s="208" t="s">
        <v>96</v>
      </c>
      <c r="AN66" s="173" t="s">
        <v>75</v>
      </c>
      <c r="AO66" s="208" t="s">
        <v>97</v>
      </c>
      <c r="AP66" s="248"/>
      <c r="AQ66" s="248"/>
      <c r="AR66" s="248"/>
      <c r="AS66" s="248">
        <v>2</v>
      </c>
      <c r="AT66" s="248"/>
      <c r="AU66" s="248"/>
      <c r="AV66" s="248"/>
      <c r="AW66" s="127">
        <f t="shared" si="11"/>
        <v>2</v>
      </c>
      <c r="AX66" s="286"/>
      <c r="AY66" s="286"/>
      <c r="AZ66" s="176"/>
      <c r="BA66" s="129">
        <f t="shared" si="16"/>
        <v>2</v>
      </c>
      <c r="BB66" s="129">
        <f t="shared" si="27"/>
        <v>0.04</v>
      </c>
      <c r="BC66" s="54">
        <v>0</v>
      </c>
      <c r="BD66" s="54">
        <v>0</v>
      </c>
      <c r="BE66" s="54">
        <v>0</v>
      </c>
      <c r="BF66" s="54">
        <v>70</v>
      </c>
      <c r="BG66" s="54">
        <v>0</v>
      </c>
      <c r="BH66" s="54">
        <v>20</v>
      </c>
      <c r="BI66" s="31">
        <f t="shared" si="22"/>
        <v>0</v>
      </c>
      <c r="BJ66" s="31">
        <f t="shared" si="23"/>
        <v>70</v>
      </c>
      <c r="BK66" s="32">
        <f t="shared" si="24"/>
        <v>20</v>
      </c>
      <c r="BL66" s="362">
        <f t="shared" si="25"/>
        <v>90</v>
      </c>
      <c r="BM66" s="366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</row>
    <row r="67" spans="1:87" ht="12.75" customHeight="1">
      <c r="A67" s="324" t="s">
        <v>245</v>
      </c>
      <c r="B67" s="620" t="s">
        <v>246</v>
      </c>
      <c r="C67" s="76" t="s">
        <v>241</v>
      </c>
      <c r="D67" s="42" t="s">
        <v>241</v>
      </c>
      <c r="E67" s="42"/>
      <c r="F67" s="195" t="s">
        <v>81</v>
      </c>
      <c r="G67" s="195" t="s">
        <v>81</v>
      </c>
      <c r="H67" s="195" t="s">
        <v>84</v>
      </c>
      <c r="I67" s="199" t="s">
        <v>96</v>
      </c>
      <c r="J67" s="221">
        <v>50</v>
      </c>
      <c r="K67" s="225">
        <v>50</v>
      </c>
      <c r="L67" s="225">
        <v>0</v>
      </c>
      <c r="M67" s="225">
        <v>0</v>
      </c>
      <c r="N67" s="172">
        <f t="shared" si="17"/>
        <v>50</v>
      </c>
      <c r="O67" s="178">
        <v>0</v>
      </c>
      <c r="P67" s="178">
        <v>20</v>
      </c>
      <c r="Q67" s="178">
        <v>30</v>
      </c>
      <c r="R67" s="178">
        <v>0</v>
      </c>
      <c r="S67" s="178">
        <v>0</v>
      </c>
      <c r="T67" s="178">
        <v>0</v>
      </c>
      <c r="U67" s="172">
        <f t="shared" si="20"/>
        <v>0</v>
      </c>
      <c r="V67" s="178">
        <v>0</v>
      </c>
      <c r="W67" s="178">
        <v>0</v>
      </c>
      <c r="X67" s="178">
        <v>0</v>
      </c>
      <c r="Y67" s="178">
        <v>0</v>
      </c>
      <c r="Z67" s="178">
        <v>0</v>
      </c>
      <c r="AA67" s="178">
        <v>0</v>
      </c>
      <c r="AB67" s="172">
        <f t="shared" si="21"/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345">
        <f t="shared" si="28"/>
        <v>0</v>
      </c>
      <c r="AJ67" s="345">
        <f t="shared" si="26"/>
        <v>0</v>
      </c>
      <c r="AK67" s="48" t="s">
        <v>73</v>
      </c>
      <c r="AL67" s="195" t="s">
        <v>84</v>
      </c>
      <c r="AM67" s="199" t="s">
        <v>96</v>
      </c>
      <c r="AN67" s="195" t="s">
        <v>84</v>
      </c>
      <c r="AO67" s="190" t="s">
        <v>97</v>
      </c>
      <c r="AP67" s="248"/>
      <c r="AQ67" s="248"/>
      <c r="AR67" s="248"/>
      <c r="AS67" s="248"/>
      <c r="AT67" s="248">
        <v>2</v>
      </c>
      <c r="AU67" s="248"/>
      <c r="AV67" s="248"/>
      <c r="AW67" s="127">
        <f t="shared" si="11"/>
        <v>2</v>
      </c>
      <c r="AX67" s="286"/>
      <c r="AY67" s="286"/>
      <c r="AZ67" s="195"/>
      <c r="BA67" s="129">
        <f t="shared" si="16"/>
        <v>2</v>
      </c>
      <c r="BB67" s="129">
        <f t="shared" si="27"/>
        <v>0.04</v>
      </c>
      <c r="BC67" s="54">
        <v>0</v>
      </c>
      <c r="BD67" s="54">
        <v>0</v>
      </c>
      <c r="BE67" s="54">
        <v>0</v>
      </c>
      <c r="BF67" s="54">
        <v>70</v>
      </c>
      <c r="BG67" s="54">
        <v>0</v>
      </c>
      <c r="BH67" s="54">
        <v>20</v>
      </c>
      <c r="BI67" s="31">
        <f t="shared" si="22"/>
        <v>0</v>
      </c>
      <c r="BJ67" s="31">
        <f t="shared" si="23"/>
        <v>70</v>
      </c>
      <c r="BK67" s="32">
        <f t="shared" si="24"/>
        <v>20</v>
      </c>
      <c r="BL67" s="362">
        <f t="shared" si="25"/>
        <v>90</v>
      </c>
      <c r="BM67" s="368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</row>
    <row r="68" spans="1:87" ht="12.75" customHeight="1">
      <c r="A68" s="323" t="s">
        <v>510</v>
      </c>
      <c r="B68" s="623" t="s">
        <v>485</v>
      </c>
      <c r="C68" s="183" t="s">
        <v>241</v>
      </c>
      <c r="D68" s="184" t="s">
        <v>241</v>
      </c>
      <c r="E68" s="184"/>
      <c r="F68" s="198" t="s">
        <v>81</v>
      </c>
      <c r="G68" s="198" t="s">
        <v>81</v>
      </c>
      <c r="H68" s="189" t="s">
        <v>89</v>
      </c>
      <c r="I68" s="412" t="s">
        <v>96</v>
      </c>
      <c r="J68" s="224">
        <v>50</v>
      </c>
      <c r="K68" s="219"/>
      <c r="L68" s="219"/>
      <c r="M68" s="219"/>
      <c r="N68" s="172">
        <v>50</v>
      </c>
      <c r="O68" s="178"/>
      <c r="P68" s="178"/>
      <c r="Q68" s="178"/>
      <c r="R68" s="178"/>
      <c r="S68" s="178"/>
      <c r="T68" s="178"/>
      <c r="U68" s="172">
        <v>0</v>
      </c>
      <c r="V68" s="178"/>
      <c r="W68" s="178"/>
      <c r="X68" s="178"/>
      <c r="Y68" s="178"/>
      <c r="Z68" s="178"/>
      <c r="AA68" s="178"/>
      <c r="AB68" s="172">
        <v>0</v>
      </c>
      <c r="AC68" s="43"/>
      <c r="AD68" s="43"/>
      <c r="AE68" s="43"/>
      <c r="AF68" s="43"/>
      <c r="AG68" s="43"/>
      <c r="AH68" s="43"/>
      <c r="AI68" s="345">
        <f t="shared" si="28"/>
        <v>0</v>
      </c>
      <c r="AJ68" s="345">
        <f t="shared" si="26"/>
        <v>0</v>
      </c>
      <c r="AK68" s="168" t="s">
        <v>83</v>
      </c>
      <c r="AL68" s="173" t="s">
        <v>89</v>
      </c>
      <c r="AM68" s="429" t="s">
        <v>96</v>
      </c>
      <c r="AN68" s="173" t="s">
        <v>89</v>
      </c>
      <c r="AO68" s="429" t="s">
        <v>97</v>
      </c>
      <c r="AP68" s="273"/>
      <c r="AQ68" s="273"/>
      <c r="AR68" s="273"/>
      <c r="AS68" s="273"/>
      <c r="AT68" s="273"/>
      <c r="AU68" s="273">
        <v>2</v>
      </c>
      <c r="AV68" s="273"/>
      <c r="AW68" s="127">
        <f t="shared" si="11"/>
        <v>2</v>
      </c>
      <c r="AX68" s="442"/>
      <c r="AY68" s="442"/>
      <c r="AZ68" s="176"/>
      <c r="BA68" s="129">
        <v>2</v>
      </c>
      <c r="BB68" s="129">
        <f t="shared" si="27"/>
        <v>0.04</v>
      </c>
      <c r="BC68" s="54">
        <v>0</v>
      </c>
      <c r="BD68" s="54">
        <v>0</v>
      </c>
      <c r="BE68" s="54">
        <v>0</v>
      </c>
      <c r="BF68" s="54">
        <v>70</v>
      </c>
      <c r="BG68" s="54">
        <v>0</v>
      </c>
      <c r="BH68" s="54">
        <v>20</v>
      </c>
      <c r="BI68" s="85">
        <f t="shared" si="22"/>
        <v>0</v>
      </c>
      <c r="BJ68" s="85">
        <f t="shared" si="23"/>
        <v>70</v>
      </c>
      <c r="BK68" s="32">
        <f t="shared" si="24"/>
        <v>20</v>
      </c>
      <c r="BL68" s="362">
        <f t="shared" si="25"/>
        <v>90</v>
      </c>
      <c r="BM68" s="366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</row>
    <row r="69" spans="1:87" ht="13.5" customHeight="1">
      <c r="A69" s="321" t="s">
        <v>252</v>
      </c>
      <c r="B69" s="95" t="s">
        <v>253</v>
      </c>
      <c r="C69" s="64" t="s">
        <v>254</v>
      </c>
      <c r="D69" s="64" t="s">
        <v>251</v>
      </c>
      <c r="E69" s="76" t="s">
        <v>491</v>
      </c>
      <c r="F69" s="173" t="s">
        <v>70</v>
      </c>
      <c r="G69" s="173" t="s">
        <v>70</v>
      </c>
      <c r="H69" s="170" t="s">
        <v>114</v>
      </c>
      <c r="I69" s="194" t="s">
        <v>97</v>
      </c>
      <c r="J69" s="229">
        <v>30</v>
      </c>
      <c r="K69" s="219">
        <v>20</v>
      </c>
      <c r="L69" s="219">
        <v>10</v>
      </c>
      <c r="M69" s="219"/>
      <c r="N69" s="172">
        <f t="shared" ref="N69:N100" si="29">SUM(O69:T69)</f>
        <v>20</v>
      </c>
      <c r="O69" s="332"/>
      <c r="P69" s="332">
        <v>14</v>
      </c>
      <c r="Q69" s="332">
        <v>6</v>
      </c>
      <c r="R69" s="332"/>
      <c r="S69" s="332"/>
      <c r="T69" s="332"/>
      <c r="U69" s="172">
        <f t="shared" ref="U69:U100" si="30">SUM(V69:AA69)</f>
        <v>10</v>
      </c>
      <c r="V69" s="332"/>
      <c r="W69" s="332">
        <v>10</v>
      </c>
      <c r="X69" s="332"/>
      <c r="Y69" s="332"/>
      <c r="Z69" s="332"/>
      <c r="AA69" s="332"/>
      <c r="AB69" s="172">
        <f t="shared" ref="AB69:AB100" si="31">SUM(AC69:AH69)</f>
        <v>0</v>
      </c>
      <c r="AC69" s="43"/>
      <c r="AD69" s="43"/>
      <c r="AE69" s="43"/>
      <c r="AF69" s="43"/>
      <c r="AG69" s="43"/>
      <c r="AH69" s="43"/>
      <c r="AI69" s="345">
        <f>(L69+M69)/J69</f>
        <v>0.33333333333333331</v>
      </c>
      <c r="AJ69" s="345">
        <f t="shared" si="26"/>
        <v>0</v>
      </c>
      <c r="AK69" s="46" t="s">
        <v>73</v>
      </c>
      <c r="AL69" s="169" t="s">
        <v>114</v>
      </c>
      <c r="AM69" s="169" t="s">
        <v>97</v>
      </c>
      <c r="AN69" s="173" t="s">
        <v>71</v>
      </c>
      <c r="AO69" s="169" t="s">
        <v>104</v>
      </c>
      <c r="AP69" s="436">
        <v>1</v>
      </c>
      <c r="AQ69" s="436">
        <v>1.34</v>
      </c>
      <c r="AR69" s="439"/>
      <c r="AS69" s="256"/>
      <c r="AT69" s="256"/>
      <c r="AU69" s="256"/>
      <c r="AV69" s="246"/>
      <c r="AW69" s="127">
        <f t="shared" si="11"/>
        <v>2.34</v>
      </c>
      <c r="AX69" s="176"/>
      <c r="AY69" s="176"/>
      <c r="AZ69" s="176"/>
      <c r="BA69" s="129">
        <f t="shared" ref="BA69:BA95" si="32">AW69+AX69+AY69</f>
        <v>2.34</v>
      </c>
      <c r="BB69" s="129">
        <f>BA69/J69</f>
        <v>7.8E-2</v>
      </c>
      <c r="BC69" s="54">
        <v>10</v>
      </c>
      <c r="BD69" s="54">
        <v>10</v>
      </c>
      <c r="BE69" s="54">
        <v>0</v>
      </c>
      <c r="BF69" s="54">
        <v>70</v>
      </c>
      <c r="BG69" s="65">
        <v>0</v>
      </c>
      <c r="BH69" s="53">
        <v>0</v>
      </c>
      <c r="BI69" s="31">
        <f t="shared" si="22"/>
        <v>20</v>
      </c>
      <c r="BJ69" s="31">
        <f t="shared" si="23"/>
        <v>70</v>
      </c>
      <c r="BK69" s="32">
        <f t="shared" si="24"/>
        <v>0</v>
      </c>
      <c r="BL69" s="362">
        <f t="shared" si="25"/>
        <v>90</v>
      </c>
      <c r="BM69" s="366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</row>
    <row r="70" spans="1:87" s="511" customFormat="1" ht="13.5" customHeight="1">
      <c r="A70" s="488" t="s">
        <v>263</v>
      </c>
      <c r="B70" s="624" t="s">
        <v>264</v>
      </c>
      <c r="C70" s="559" t="s">
        <v>157</v>
      </c>
      <c r="D70" s="567" t="s">
        <v>157</v>
      </c>
      <c r="E70" s="567" t="s">
        <v>489</v>
      </c>
      <c r="F70" s="559" t="s">
        <v>81</v>
      </c>
      <c r="G70" s="559" t="s">
        <v>81</v>
      </c>
      <c r="H70" s="559" t="s">
        <v>75</v>
      </c>
      <c r="I70" s="517" t="s">
        <v>97</v>
      </c>
      <c r="J70" s="221">
        <v>45</v>
      </c>
      <c r="K70" s="216">
        <v>32</v>
      </c>
      <c r="L70" s="216">
        <v>11</v>
      </c>
      <c r="M70" s="216">
        <v>2</v>
      </c>
      <c r="N70" s="494">
        <f t="shared" si="29"/>
        <v>28</v>
      </c>
      <c r="O70" s="331">
        <v>0</v>
      </c>
      <c r="P70" s="331">
        <v>12</v>
      </c>
      <c r="Q70" s="331">
        <v>13</v>
      </c>
      <c r="R70" s="331">
        <v>3</v>
      </c>
      <c r="S70" s="331">
        <v>0</v>
      </c>
      <c r="T70" s="331">
        <v>0</v>
      </c>
      <c r="U70" s="494">
        <f t="shared" si="30"/>
        <v>13</v>
      </c>
      <c r="V70" s="331">
        <v>0</v>
      </c>
      <c r="W70" s="331">
        <v>9</v>
      </c>
      <c r="X70" s="331">
        <v>2</v>
      </c>
      <c r="Y70" s="331">
        <v>0</v>
      </c>
      <c r="Z70" s="331">
        <v>2</v>
      </c>
      <c r="AA70" s="331">
        <v>0</v>
      </c>
      <c r="AB70" s="494">
        <f t="shared" si="31"/>
        <v>4</v>
      </c>
      <c r="AC70" s="26">
        <v>0</v>
      </c>
      <c r="AD70" s="26">
        <v>2</v>
      </c>
      <c r="AE70" s="26">
        <v>2</v>
      </c>
      <c r="AF70" s="26">
        <v>0</v>
      </c>
      <c r="AG70" s="26">
        <v>0</v>
      </c>
      <c r="AH70" s="26">
        <v>0</v>
      </c>
      <c r="AI70" s="345">
        <f>(L70+M70)/J70</f>
        <v>0.28888888888888886</v>
      </c>
      <c r="AJ70" s="345">
        <f t="shared" si="26"/>
        <v>8.8888888888888892E-2</v>
      </c>
      <c r="AK70" s="491" t="s">
        <v>73</v>
      </c>
      <c r="AL70" s="559" t="s">
        <v>84</v>
      </c>
      <c r="AM70" s="568" t="s">
        <v>104</v>
      </c>
      <c r="AN70" s="559" t="s">
        <v>89</v>
      </c>
      <c r="AO70" s="523" t="s">
        <v>97</v>
      </c>
      <c r="AP70" s="496"/>
      <c r="AQ70" s="496"/>
      <c r="AR70" s="496"/>
      <c r="AS70" s="496"/>
      <c r="AT70" s="496">
        <v>1.655</v>
      </c>
      <c r="AU70" s="496">
        <v>1</v>
      </c>
      <c r="AV70" s="496"/>
      <c r="AW70" s="127">
        <f t="shared" si="11"/>
        <v>2.6550000000000002</v>
      </c>
      <c r="AX70" s="518"/>
      <c r="AY70" s="518"/>
      <c r="AZ70" s="519"/>
      <c r="BA70" s="129">
        <f t="shared" si="32"/>
        <v>2.6550000000000002</v>
      </c>
      <c r="BB70" s="129">
        <f>BA70/J70</f>
        <v>5.9000000000000004E-2</v>
      </c>
      <c r="BC70" s="504">
        <v>50</v>
      </c>
      <c r="BD70" s="504">
        <v>45</v>
      </c>
      <c r="BE70" s="504">
        <v>0</v>
      </c>
      <c r="BF70" s="504">
        <v>10</v>
      </c>
      <c r="BG70" s="504">
        <v>0</v>
      </c>
      <c r="BH70" s="504">
        <v>0</v>
      </c>
      <c r="BI70" s="506">
        <f t="shared" si="22"/>
        <v>95</v>
      </c>
      <c r="BJ70" s="506">
        <f t="shared" si="23"/>
        <v>10</v>
      </c>
      <c r="BK70" s="507">
        <f t="shared" si="24"/>
        <v>0</v>
      </c>
      <c r="BL70" s="508">
        <f t="shared" si="25"/>
        <v>105</v>
      </c>
      <c r="BM70" s="520"/>
      <c r="BN70" s="569"/>
      <c r="BO70" s="569"/>
      <c r="BP70" s="569"/>
      <c r="BQ70" s="569"/>
      <c r="BR70" s="569"/>
      <c r="BS70" s="569"/>
      <c r="BT70" s="569"/>
      <c r="BU70" s="569"/>
      <c r="BV70" s="569"/>
      <c r="BW70" s="569"/>
      <c r="BX70" s="569"/>
      <c r="BY70" s="569"/>
      <c r="BZ70" s="569"/>
      <c r="CA70" s="569"/>
      <c r="CB70" s="569"/>
      <c r="CC70" s="569"/>
      <c r="CD70" s="569"/>
      <c r="CE70" s="569"/>
      <c r="CF70" s="569"/>
      <c r="CG70" s="569"/>
      <c r="CH70" s="569"/>
      <c r="CI70" s="569"/>
    </row>
    <row r="71" spans="1:87" s="511" customFormat="1" ht="13.5" customHeight="1">
      <c r="A71" s="488" t="s">
        <v>259</v>
      </c>
      <c r="B71" s="620" t="s">
        <v>260</v>
      </c>
      <c r="C71" s="528" t="s">
        <v>157</v>
      </c>
      <c r="D71" s="490" t="s">
        <v>157</v>
      </c>
      <c r="E71" s="567" t="s">
        <v>489</v>
      </c>
      <c r="F71" s="491" t="s">
        <v>81</v>
      </c>
      <c r="G71" s="491" t="s">
        <v>81</v>
      </c>
      <c r="H71" s="522" t="s">
        <v>84</v>
      </c>
      <c r="I71" s="515" t="s">
        <v>104</v>
      </c>
      <c r="J71" s="221">
        <v>25</v>
      </c>
      <c r="K71" s="216">
        <v>18</v>
      </c>
      <c r="L71" s="216">
        <v>6</v>
      </c>
      <c r="M71" s="216">
        <v>1</v>
      </c>
      <c r="N71" s="494">
        <f t="shared" si="29"/>
        <v>9</v>
      </c>
      <c r="O71" s="331">
        <v>0</v>
      </c>
      <c r="P71" s="331">
        <v>3</v>
      </c>
      <c r="Q71" s="331">
        <v>3</v>
      </c>
      <c r="R71" s="331">
        <v>3</v>
      </c>
      <c r="S71" s="331">
        <v>0</v>
      </c>
      <c r="T71" s="331">
        <v>0</v>
      </c>
      <c r="U71" s="494">
        <f t="shared" si="30"/>
        <v>10</v>
      </c>
      <c r="V71" s="331">
        <v>0</v>
      </c>
      <c r="W71" s="331">
        <v>7</v>
      </c>
      <c r="X71" s="331">
        <v>2</v>
      </c>
      <c r="Y71" s="331">
        <v>1</v>
      </c>
      <c r="Z71" s="331">
        <v>0</v>
      </c>
      <c r="AA71" s="331">
        <v>0</v>
      </c>
      <c r="AB71" s="494">
        <f t="shared" si="31"/>
        <v>6</v>
      </c>
      <c r="AC71" s="26">
        <v>0</v>
      </c>
      <c r="AD71" s="26">
        <v>3</v>
      </c>
      <c r="AE71" s="26">
        <v>3</v>
      </c>
      <c r="AF71" s="26">
        <v>0</v>
      </c>
      <c r="AG71" s="26">
        <v>0</v>
      </c>
      <c r="AH71" s="26">
        <v>0</v>
      </c>
      <c r="AI71" s="345">
        <f>(U71+AB71)/J71</f>
        <v>0.64</v>
      </c>
      <c r="AJ71" s="345">
        <f t="shared" si="26"/>
        <v>0.24</v>
      </c>
      <c r="AK71" s="491" t="s">
        <v>73</v>
      </c>
      <c r="AL71" s="491" t="s">
        <v>84</v>
      </c>
      <c r="AM71" s="491" t="s">
        <v>104</v>
      </c>
      <c r="AN71" s="491" t="s">
        <v>89</v>
      </c>
      <c r="AO71" s="491" t="s">
        <v>88</v>
      </c>
      <c r="AP71" s="496"/>
      <c r="AQ71" s="496"/>
      <c r="AR71" s="496"/>
      <c r="AS71" s="496"/>
      <c r="AT71" s="496">
        <v>1</v>
      </c>
      <c r="AU71" s="496">
        <v>0.47499999999999998</v>
      </c>
      <c r="AV71" s="496"/>
      <c r="AW71" s="127">
        <f t="shared" si="11"/>
        <v>1.4750000000000001</v>
      </c>
      <c r="AX71" s="518"/>
      <c r="AY71" s="518"/>
      <c r="AZ71" s="519"/>
      <c r="BA71" s="129">
        <f t="shared" si="32"/>
        <v>1.4750000000000001</v>
      </c>
      <c r="BB71" s="129">
        <f>BA71/J71</f>
        <v>5.9000000000000004E-2</v>
      </c>
      <c r="BC71" s="504">
        <v>50</v>
      </c>
      <c r="BD71" s="504">
        <v>45</v>
      </c>
      <c r="BE71" s="504">
        <v>50</v>
      </c>
      <c r="BF71" s="504">
        <v>10</v>
      </c>
      <c r="BG71" s="504">
        <v>0</v>
      </c>
      <c r="BH71" s="504">
        <v>20</v>
      </c>
      <c r="BI71" s="506">
        <f t="shared" ref="BI71:BI102" si="33">BC71+BD71</f>
        <v>95</v>
      </c>
      <c r="BJ71" s="506">
        <f t="shared" ref="BJ71:BJ102" si="34">BE71+BF71</f>
        <v>60</v>
      </c>
      <c r="BK71" s="507">
        <f t="shared" ref="BK71:BK102" si="35">BG71+BH71</f>
        <v>20</v>
      </c>
      <c r="BL71" s="508">
        <f t="shared" ref="BL71:BL102" si="36">SUM(BI71:BK71)</f>
        <v>175</v>
      </c>
      <c r="BM71" s="509"/>
      <c r="BN71" s="569"/>
      <c r="BO71" s="569"/>
      <c r="BP71" s="569"/>
      <c r="BQ71" s="569"/>
      <c r="BR71" s="569"/>
      <c r="BS71" s="569"/>
      <c r="BT71" s="569"/>
      <c r="BU71" s="569"/>
      <c r="BV71" s="569"/>
      <c r="BW71" s="569"/>
      <c r="BX71" s="569"/>
      <c r="BY71" s="569"/>
      <c r="BZ71" s="569"/>
      <c r="CA71" s="569"/>
      <c r="CB71" s="569"/>
      <c r="CC71" s="569"/>
      <c r="CD71" s="569"/>
      <c r="CE71" s="569"/>
      <c r="CF71" s="569"/>
      <c r="CG71" s="569"/>
      <c r="CH71" s="569"/>
      <c r="CI71" s="569"/>
    </row>
    <row r="72" spans="1:87" ht="13.5" customHeight="1">
      <c r="A72" s="324" t="s">
        <v>117</v>
      </c>
      <c r="B72" s="316" t="s">
        <v>269</v>
      </c>
      <c r="C72" s="75" t="s">
        <v>157</v>
      </c>
      <c r="D72" s="58" t="s">
        <v>157</v>
      </c>
      <c r="E72" s="45" t="s">
        <v>489</v>
      </c>
      <c r="F72" s="173" t="s">
        <v>70</v>
      </c>
      <c r="G72" s="173" t="s">
        <v>70</v>
      </c>
      <c r="H72" s="186" t="s">
        <v>89</v>
      </c>
      <c r="I72" s="191" t="s">
        <v>132</v>
      </c>
      <c r="J72" s="221">
        <v>0</v>
      </c>
      <c r="K72" s="216">
        <v>24</v>
      </c>
      <c r="L72" s="216"/>
      <c r="M72" s="216"/>
      <c r="N72" s="172">
        <f t="shared" si="29"/>
        <v>0</v>
      </c>
      <c r="O72" s="331"/>
      <c r="P72" s="331"/>
      <c r="Q72" s="331"/>
      <c r="R72" s="331"/>
      <c r="S72" s="331"/>
      <c r="T72" s="331"/>
      <c r="U72" s="172">
        <f t="shared" si="30"/>
        <v>0</v>
      </c>
      <c r="V72" s="331"/>
      <c r="W72" s="331"/>
      <c r="X72" s="331"/>
      <c r="Y72" s="331"/>
      <c r="Z72" s="331"/>
      <c r="AA72" s="331"/>
      <c r="AB72" s="172">
        <f t="shared" si="31"/>
        <v>0</v>
      </c>
      <c r="AC72" s="68"/>
      <c r="AD72" s="68"/>
      <c r="AE72" s="68"/>
      <c r="AF72" s="68"/>
      <c r="AG72" s="68"/>
      <c r="AH72" s="68"/>
      <c r="AI72" s="345">
        <v>0</v>
      </c>
      <c r="AJ72" s="345">
        <v>0</v>
      </c>
      <c r="AK72" s="46" t="s">
        <v>73</v>
      </c>
      <c r="AL72" s="169" t="s">
        <v>89</v>
      </c>
      <c r="AM72" s="266" t="s">
        <v>104</v>
      </c>
      <c r="AN72" s="169" t="s">
        <v>133</v>
      </c>
      <c r="AO72" s="188" t="s">
        <v>97</v>
      </c>
      <c r="AP72" s="457"/>
      <c r="AQ72" s="248"/>
      <c r="AR72" s="274"/>
      <c r="AS72" s="259"/>
      <c r="AT72" s="259"/>
      <c r="AU72" s="275">
        <v>1.8720000000000001</v>
      </c>
      <c r="AV72" s="246"/>
      <c r="AW72" s="127">
        <f t="shared" ref="AW72:AW93" si="37">SUM(AP72:AV72)</f>
        <v>1.8720000000000001</v>
      </c>
      <c r="AX72" s="295"/>
      <c r="AY72" s="296"/>
      <c r="AZ72" s="297"/>
      <c r="BA72" s="129">
        <f t="shared" si="32"/>
        <v>1.8720000000000001</v>
      </c>
      <c r="BB72" s="129">
        <f>BA72/24</f>
        <v>7.8E-2</v>
      </c>
      <c r="BC72" s="54">
        <v>50</v>
      </c>
      <c r="BD72" s="54">
        <v>45</v>
      </c>
      <c r="BE72" s="54">
        <v>10</v>
      </c>
      <c r="BF72" s="54">
        <v>10</v>
      </c>
      <c r="BG72" s="85">
        <v>0</v>
      </c>
      <c r="BH72" s="85">
        <v>0</v>
      </c>
      <c r="BI72" s="31">
        <f t="shared" si="33"/>
        <v>95</v>
      </c>
      <c r="BJ72" s="31">
        <f t="shared" si="34"/>
        <v>20</v>
      </c>
      <c r="BK72" s="32">
        <f t="shared" si="35"/>
        <v>0</v>
      </c>
      <c r="BL72" s="362">
        <f t="shared" si="36"/>
        <v>115</v>
      </c>
      <c r="BM72" s="465" t="s">
        <v>496</v>
      </c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</row>
    <row r="73" spans="1:87" ht="13.5" customHeight="1">
      <c r="A73" s="321" t="s">
        <v>265</v>
      </c>
      <c r="B73" s="312" t="s">
        <v>266</v>
      </c>
      <c r="C73" s="66" t="s">
        <v>157</v>
      </c>
      <c r="D73" s="45" t="s">
        <v>157</v>
      </c>
      <c r="E73" s="45" t="s">
        <v>489</v>
      </c>
      <c r="F73" s="185" t="s">
        <v>70</v>
      </c>
      <c r="G73" s="185" t="s">
        <v>70</v>
      </c>
      <c r="H73" s="185" t="s">
        <v>114</v>
      </c>
      <c r="I73" s="188" t="s">
        <v>115</v>
      </c>
      <c r="J73" s="221">
        <v>85</v>
      </c>
      <c r="K73" s="216">
        <v>60</v>
      </c>
      <c r="L73" s="216">
        <v>21</v>
      </c>
      <c r="M73" s="216">
        <v>4</v>
      </c>
      <c r="N73" s="172">
        <f t="shared" si="29"/>
        <v>60</v>
      </c>
      <c r="O73" s="331"/>
      <c r="P73" s="331">
        <v>22</v>
      </c>
      <c r="Q73" s="331">
        <v>27</v>
      </c>
      <c r="R73" s="331">
        <v>11</v>
      </c>
      <c r="S73" s="331"/>
      <c r="T73" s="331"/>
      <c r="U73" s="172">
        <f t="shared" si="30"/>
        <v>21</v>
      </c>
      <c r="V73" s="331"/>
      <c r="W73" s="331">
        <v>6</v>
      </c>
      <c r="X73" s="331">
        <v>8</v>
      </c>
      <c r="Y73" s="331">
        <v>2</v>
      </c>
      <c r="Z73" s="331">
        <v>5</v>
      </c>
      <c r="AA73" s="331"/>
      <c r="AB73" s="172">
        <f t="shared" si="31"/>
        <v>4</v>
      </c>
      <c r="AC73" s="26"/>
      <c r="AD73" s="26">
        <v>2</v>
      </c>
      <c r="AE73" s="26">
        <v>2</v>
      </c>
      <c r="AF73" s="26"/>
      <c r="AG73" s="26"/>
      <c r="AH73" s="26"/>
      <c r="AI73" s="345">
        <f>(L73+M73)/J73</f>
        <v>0.29411764705882354</v>
      </c>
      <c r="AJ73" s="345">
        <f t="shared" ref="AJ73:AJ87" si="38">AB73/J73</f>
        <v>4.7058823529411764E-2</v>
      </c>
      <c r="AK73" s="46" t="s">
        <v>73</v>
      </c>
      <c r="AL73" s="185" t="s">
        <v>114</v>
      </c>
      <c r="AM73" s="201" t="s">
        <v>169</v>
      </c>
      <c r="AN73" s="185" t="s">
        <v>71</v>
      </c>
      <c r="AO73" s="243" t="s">
        <v>82</v>
      </c>
      <c r="AP73" s="249">
        <v>4</v>
      </c>
      <c r="AQ73" s="249">
        <v>2</v>
      </c>
      <c r="AR73" s="440">
        <v>0.57899999999999996</v>
      </c>
      <c r="AS73" s="256"/>
      <c r="AT73" s="256"/>
      <c r="AU73" s="257"/>
      <c r="AV73" s="246"/>
      <c r="AW73" s="127">
        <f t="shared" si="37"/>
        <v>6.5789999999999997</v>
      </c>
      <c r="AX73" s="289"/>
      <c r="AY73" s="289"/>
      <c r="AZ73" s="292"/>
      <c r="BA73" s="129">
        <f t="shared" si="32"/>
        <v>6.5789999999999997</v>
      </c>
      <c r="BB73" s="129">
        <f t="shared" ref="BB73:BB87" si="39">BA73/J73</f>
        <v>7.7399999999999997E-2</v>
      </c>
      <c r="BC73" s="54">
        <v>50</v>
      </c>
      <c r="BD73" s="54">
        <v>45</v>
      </c>
      <c r="BE73" s="54">
        <v>60</v>
      </c>
      <c r="BF73" s="54">
        <v>70</v>
      </c>
      <c r="BG73" s="54">
        <v>0</v>
      </c>
      <c r="BH73" s="54">
        <v>0</v>
      </c>
      <c r="BI73" s="31">
        <f t="shared" si="33"/>
        <v>95</v>
      </c>
      <c r="BJ73" s="31">
        <f t="shared" si="34"/>
        <v>130</v>
      </c>
      <c r="BK73" s="32">
        <f t="shared" si="35"/>
        <v>0</v>
      </c>
      <c r="BL73" s="362">
        <f t="shared" si="36"/>
        <v>225</v>
      </c>
      <c r="BM73" s="369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</row>
    <row r="74" spans="1:87" ht="13.5" customHeight="1">
      <c r="A74" s="321" t="s">
        <v>267</v>
      </c>
      <c r="B74" s="351" t="s">
        <v>268</v>
      </c>
      <c r="C74" s="77" t="s">
        <v>157</v>
      </c>
      <c r="D74" s="47" t="s">
        <v>157</v>
      </c>
      <c r="E74" s="45" t="s">
        <v>489</v>
      </c>
      <c r="F74" s="185" t="s">
        <v>70</v>
      </c>
      <c r="G74" s="200" t="s">
        <v>135</v>
      </c>
      <c r="H74" s="185" t="s">
        <v>109</v>
      </c>
      <c r="I74" s="188" t="s">
        <v>104</v>
      </c>
      <c r="J74" s="221">
        <v>20</v>
      </c>
      <c r="K74" s="216">
        <v>18</v>
      </c>
      <c r="L74" s="216">
        <v>2</v>
      </c>
      <c r="M74" s="216"/>
      <c r="N74" s="172">
        <f t="shared" si="29"/>
        <v>18</v>
      </c>
      <c r="O74" s="331"/>
      <c r="P74" s="331">
        <v>10</v>
      </c>
      <c r="Q74" s="331">
        <v>8</v>
      </c>
      <c r="R74" s="331"/>
      <c r="S74" s="331"/>
      <c r="T74" s="331"/>
      <c r="U74" s="172">
        <f t="shared" si="30"/>
        <v>2</v>
      </c>
      <c r="V74" s="331"/>
      <c r="W74" s="331">
        <v>2</v>
      </c>
      <c r="X74" s="331"/>
      <c r="Y74" s="331"/>
      <c r="Z74" s="331"/>
      <c r="AA74" s="331"/>
      <c r="AB74" s="172">
        <f t="shared" si="31"/>
        <v>0</v>
      </c>
      <c r="AC74" s="26"/>
      <c r="AD74" s="26"/>
      <c r="AE74" s="26"/>
      <c r="AF74" s="26"/>
      <c r="AG74" s="26"/>
      <c r="AH74" s="26"/>
      <c r="AI74" s="345">
        <f>(L74+M74)/J74</f>
        <v>0.1</v>
      </c>
      <c r="AJ74" s="345">
        <f t="shared" si="38"/>
        <v>0</v>
      </c>
      <c r="AK74" s="59" t="s">
        <v>136</v>
      </c>
      <c r="AL74" s="185" t="s">
        <v>109</v>
      </c>
      <c r="AM74" s="201" t="s">
        <v>104</v>
      </c>
      <c r="AN74" s="185" t="s">
        <v>71</v>
      </c>
      <c r="AO74" s="243" t="s">
        <v>132</v>
      </c>
      <c r="AP74" s="249">
        <v>0.2</v>
      </c>
      <c r="AQ74" s="249">
        <v>0.76</v>
      </c>
      <c r="AR74" s="256"/>
      <c r="AS74" s="256"/>
      <c r="AT74" s="256"/>
      <c r="AU74" s="259"/>
      <c r="AV74" s="246"/>
      <c r="AW74" s="127">
        <f t="shared" si="37"/>
        <v>0.96</v>
      </c>
      <c r="AX74" s="289"/>
      <c r="AY74" s="289"/>
      <c r="AZ74" s="292"/>
      <c r="BA74" s="129">
        <f t="shared" si="32"/>
        <v>0.96</v>
      </c>
      <c r="BB74" s="129">
        <f t="shared" si="39"/>
        <v>4.8000000000000001E-2</v>
      </c>
      <c r="BC74" s="54">
        <v>50</v>
      </c>
      <c r="BD74" s="54">
        <v>45</v>
      </c>
      <c r="BE74" s="54">
        <v>0</v>
      </c>
      <c r="BF74" s="54">
        <v>70</v>
      </c>
      <c r="BG74" s="54">
        <v>0</v>
      </c>
      <c r="BH74" s="54">
        <v>0</v>
      </c>
      <c r="BI74" s="31">
        <f t="shared" si="33"/>
        <v>95</v>
      </c>
      <c r="BJ74" s="31">
        <f t="shared" si="34"/>
        <v>70</v>
      </c>
      <c r="BK74" s="32">
        <f t="shared" si="35"/>
        <v>0</v>
      </c>
      <c r="BL74" s="362">
        <f t="shared" si="36"/>
        <v>165</v>
      </c>
      <c r="BM74" s="366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</row>
    <row r="75" spans="1:87" s="511" customFormat="1" ht="12.75" customHeight="1">
      <c r="A75" s="488" t="s">
        <v>261</v>
      </c>
      <c r="B75" s="620" t="s">
        <v>262</v>
      </c>
      <c r="C75" s="528" t="s">
        <v>157</v>
      </c>
      <c r="D75" s="528" t="s">
        <v>157</v>
      </c>
      <c r="E75" s="567" t="s">
        <v>489</v>
      </c>
      <c r="F75" s="491" t="s">
        <v>81</v>
      </c>
      <c r="G75" s="491" t="s">
        <v>81</v>
      </c>
      <c r="H75" s="492" t="s">
        <v>71</v>
      </c>
      <c r="I75" s="515" t="s">
        <v>104</v>
      </c>
      <c r="J75" s="221">
        <v>49</v>
      </c>
      <c r="K75" s="219">
        <v>35</v>
      </c>
      <c r="L75" s="219">
        <v>12</v>
      </c>
      <c r="M75" s="219">
        <v>2</v>
      </c>
      <c r="N75" s="494">
        <f t="shared" si="29"/>
        <v>35</v>
      </c>
      <c r="O75" s="332">
        <v>0</v>
      </c>
      <c r="P75" s="332">
        <v>16</v>
      </c>
      <c r="Q75" s="332">
        <v>16</v>
      </c>
      <c r="R75" s="332">
        <v>3</v>
      </c>
      <c r="S75" s="332">
        <v>0</v>
      </c>
      <c r="T75" s="332">
        <v>0</v>
      </c>
      <c r="U75" s="494">
        <f t="shared" si="30"/>
        <v>12</v>
      </c>
      <c r="V75" s="332">
        <v>0</v>
      </c>
      <c r="W75" s="332">
        <v>11</v>
      </c>
      <c r="X75" s="332">
        <v>0</v>
      </c>
      <c r="Y75" s="332">
        <v>0</v>
      </c>
      <c r="Z75" s="332">
        <v>1</v>
      </c>
      <c r="AA75" s="332">
        <v>0</v>
      </c>
      <c r="AB75" s="494">
        <f t="shared" si="31"/>
        <v>2</v>
      </c>
      <c r="AC75" s="43">
        <v>0</v>
      </c>
      <c r="AD75" s="43">
        <v>2</v>
      </c>
      <c r="AE75" s="43">
        <v>0</v>
      </c>
      <c r="AF75" s="43">
        <v>0</v>
      </c>
      <c r="AG75" s="43">
        <v>0</v>
      </c>
      <c r="AH75" s="43">
        <v>0</v>
      </c>
      <c r="AI75" s="345">
        <f>(U75+AB75)/J75</f>
        <v>0.2857142857142857</v>
      </c>
      <c r="AJ75" s="345">
        <f t="shared" si="38"/>
        <v>4.0816326530612242E-2</v>
      </c>
      <c r="AK75" s="491" t="s">
        <v>73</v>
      </c>
      <c r="AL75" s="495" t="s">
        <v>71</v>
      </c>
      <c r="AM75" s="491" t="s">
        <v>104</v>
      </c>
      <c r="AN75" s="495" t="s">
        <v>84</v>
      </c>
      <c r="AO75" s="495" t="s">
        <v>97</v>
      </c>
      <c r="AP75" s="570"/>
      <c r="AQ75" s="570"/>
      <c r="AR75" s="570">
        <v>0.71799999999999997</v>
      </c>
      <c r="AS75" s="570">
        <v>0.71699999999999997</v>
      </c>
      <c r="AT75" s="570">
        <v>0.71699999999999997</v>
      </c>
      <c r="AU75" s="570"/>
      <c r="AV75" s="570"/>
      <c r="AW75" s="127">
        <f t="shared" si="37"/>
        <v>2.1520000000000001</v>
      </c>
      <c r="AX75" s="556">
        <v>0.7</v>
      </c>
      <c r="AY75" s="556">
        <v>3.9E-2</v>
      </c>
      <c r="AZ75" s="502"/>
      <c r="BA75" s="129">
        <f t="shared" si="32"/>
        <v>2.8910000000000005</v>
      </c>
      <c r="BB75" s="129">
        <f t="shared" si="39"/>
        <v>5.9000000000000011E-2</v>
      </c>
      <c r="BC75" s="504">
        <v>50</v>
      </c>
      <c r="BD75" s="504">
        <v>45</v>
      </c>
      <c r="BE75" s="504">
        <v>50</v>
      </c>
      <c r="BF75" s="504">
        <v>30</v>
      </c>
      <c r="BG75" s="504">
        <v>0</v>
      </c>
      <c r="BH75" s="504">
        <v>0</v>
      </c>
      <c r="BI75" s="506">
        <f t="shared" si="33"/>
        <v>95</v>
      </c>
      <c r="BJ75" s="506">
        <f t="shared" si="34"/>
        <v>80</v>
      </c>
      <c r="BK75" s="507">
        <f t="shared" si="35"/>
        <v>0</v>
      </c>
      <c r="BL75" s="508">
        <f t="shared" si="36"/>
        <v>175</v>
      </c>
      <c r="BM75" s="520"/>
      <c r="BN75" s="510"/>
      <c r="BO75" s="510"/>
      <c r="BP75" s="510"/>
      <c r="BQ75" s="510"/>
      <c r="BR75" s="510"/>
      <c r="BS75" s="510"/>
      <c r="BT75" s="510"/>
      <c r="BU75" s="510"/>
      <c r="BV75" s="510"/>
      <c r="BW75" s="510"/>
      <c r="BX75" s="510"/>
      <c r="BY75" s="510"/>
      <c r="BZ75" s="510"/>
      <c r="CA75" s="510"/>
      <c r="CB75" s="510"/>
      <c r="CC75" s="510"/>
      <c r="CD75" s="510"/>
      <c r="CE75" s="510"/>
      <c r="CF75" s="510"/>
      <c r="CG75" s="510"/>
      <c r="CH75" s="510"/>
      <c r="CI75" s="510"/>
    </row>
    <row r="76" spans="1:87" s="511" customFormat="1" ht="13.5" customHeight="1">
      <c r="A76" s="488" t="s">
        <v>256</v>
      </c>
      <c r="B76" s="620" t="s">
        <v>257</v>
      </c>
      <c r="C76" s="528" t="s">
        <v>157</v>
      </c>
      <c r="D76" s="528" t="s">
        <v>157</v>
      </c>
      <c r="E76" s="567" t="s">
        <v>489</v>
      </c>
      <c r="F76" s="495" t="s">
        <v>119</v>
      </c>
      <c r="G76" s="491" t="s">
        <v>81</v>
      </c>
      <c r="H76" s="492" t="s">
        <v>109</v>
      </c>
      <c r="I76" s="593" t="s">
        <v>104</v>
      </c>
      <c r="J76" s="221">
        <v>34</v>
      </c>
      <c r="K76" s="219">
        <v>24</v>
      </c>
      <c r="L76" s="219">
        <v>8</v>
      </c>
      <c r="M76" s="219">
        <v>2</v>
      </c>
      <c r="N76" s="494">
        <f t="shared" si="29"/>
        <v>24</v>
      </c>
      <c r="O76" s="332">
        <v>0</v>
      </c>
      <c r="P76" s="332">
        <v>11</v>
      </c>
      <c r="Q76" s="332">
        <v>11</v>
      </c>
      <c r="R76" s="332">
        <v>2</v>
      </c>
      <c r="S76" s="332">
        <v>0</v>
      </c>
      <c r="T76" s="332">
        <v>0</v>
      </c>
      <c r="U76" s="494">
        <f t="shared" si="30"/>
        <v>8</v>
      </c>
      <c r="V76" s="332">
        <v>0</v>
      </c>
      <c r="W76" s="332">
        <v>8</v>
      </c>
      <c r="X76" s="332">
        <v>0</v>
      </c>
      <c r="Y76" s="332">
        <v>0</v>
      </c>
      <c r="Z76" s="332">
        <v>0</v>
      </c>
      <c r="AA76" s="332">
        <v>0</v>
      </c>
      <c r="AB76" s="494">
        <f t="shared" si="31"/>
        <v>2</v>
      </c>
      <c r="AC76" s="43">
        <v>0</v>
      </c>
      <c r="AD76" s="43">
        <v>1</v>
      </c>
      <c r="AE76" s="43">
        <v>1</v>
      </c>
      <c r="AF76" s="43">
        <v>0</v>
      </c>
      <c r="AG76" s="43">
        <v>0</v>
      </c>
      <c r="AH76" s="43">
        <v>0</v>
      </c>
      <c r="AI76" s="345">
        <f>(U76+AB76)/J76</f>
        <v>0.29411764705882354</v>
      </c>
      <c r="AJ76" s="345">
        <f t="shared" si="38"/>
        <v>5.8823529411764705E-2</v>
      </c>
      <c r="AK76" s="491" t="s">
        <v>73</v>
      </c>
      <c r="AL76" s="495" t="s">
        <v>109</v>
      </c>
      <c r="AM76" s="495" t="s">
        <v>104</v>
      </c>
      <c r="AN76" s="495" t="s">
        <v>71</v>
      </c>
      <c r="AO76" s="495" t="s">
        <v>115</v>
      </c>
      <c r="AP76" s="570"/>
      <c r="AQ76" s="570">
        <v>0.9</v>
      </c>
      <c r="AR76" s="570">
        <v>0.50600000000000001</v>
      </c>
      <c r="AS76" s="570"/>
      <c r="AT76" s="570"/>
      <c r="AU76" s="570"/>
      <c r="AV76" s="570"/>
      <c r="AW76" s="127">
        <f t="shared" si="37"/>
        <v>1.4060000000000001</v>
      </c>
      <c r="AX76" s="556">
        <v>0.6</v>
      </c>
      <c r="AY76" s="556"/>
      <c r="AZ76" s="502"/>
      <c r="BA76" s="129">
        <f t="shared" si="32"/>
        <v>2.0060000000000002</v>
      </c>
      <c r="BB76" s="129">
        <f t="shared" si="39"/>
        <v>5.9000000000000004E-2</v>
      </c>
      <c r="BC76" s="504">
        <v>50</v>
      </c>
      <c r="BD76" s="504">
        <v>45</v>
      </c>
      <c r="BE76" s="504">
        <v>40</v>
      </c>
      <c r="BF76" s="504">
        <v>30</v>
      </c>
      <c r="BG76" s="504">
        <v>0</v>
      </c>
      <c r="BH76" s="504">
        <v>0</v>
      </c>
      <c r="BI76" s="506">
        <f t="shared" si="33"/>
        <v>95</v>
      </c>
      <c r="BJ76" s="506">
        <f t="shared" si="34"/>
        <v>70</v>
      </c>
      <c r="BK76" s="507">
        <f t="shared" si="35"/>
        <v>0</v>
      </c>
      <c r="BL76" s="571">
        <f t="shared" si="36"/>
        <v>165</v>
      </c>
      <c r="BM76" s="509"/>
      <c r="BN76" s="510"/>
      <c r="BO76" s="510"/>
      <c r="BP76" s="510"/>
      <c r="BQ76" s="510"/>
      <c r="BR76" s="510"/>
      <c r="BS76" s="510"/>
      <c r="BT76" s="510"/>
      <c r="BU76" s="510"/>
      <c r="BV76" s="510"/>
      <c r="BW76" s="510"/>
      <c r="BX76" s="510"/>
      <c r="BY76" s="510"/>
      <c r="BZ76" s="510"/>
      <c r="CA76" s="510"/>
      <c r="CB76" s="510"/>
      <c r="CC76" s="510"/>
      <c r="CD76" s="510"/>
      <c r="CE76" s="510"/>
      <c r="CF76" s="510"/>
      <c r="CG76" s="510"/>
      <c r="CH76" s="510"/>
      <c r="CI76" s="510"/>
    </row>
    <row r="77" spans="1:87" s="511" customFormat="1" ht="13.5" customHeight="1">
      <c r="A77" s="488" t="s">
        <v>511</v>
      </c>
      <c r="B77" s="625" t="s">
        <v>258</v>
      </c>
      <c r="C77" s="572" t="s">
        <v>157</v>
      </c>
      <c r="D77" s="490" t="s">
        <v>157</v>
      </c>
      <c r="E77" s="567" t="s">
        <v>489</v>
      </c>
      <c r="F77" s="491" t="s">
        <v>119</v>
      </c>
      <c r="G77" s="491" t="s">
        <v>81</v>
      </c>
      <c r="H77" s="589" t="s">
        <v>109</v>
      </c>
      <c r="I77" s="594" t="s">
        <v>169</v>
      </c>
      <c r="J77" s="591">
        <v>60</v>
      </c>
      <c r="K77" s="216">
        <v>42</v>
      </c>
      <c r="L77" s="216">
        <v>15</v>
      </c>
      <c r="M77" s="216">
        <v>3</v>
      </c>
      <c r="N77" s="494">
        <f t="shared" si="29"/>
        <v>42</v>
      </c>
      <c r="O77" s="332">
        <v>0</v>
      </c>
      <c r="P77" s="332">
        <v>19</v>
      </c>
      <c r="Q77" s="332">
        <v>19</v>
      </c>
      <c r="R77" s="332">
        <v>4</v>
      </c>
      <c r="S77" s="332">
        <v>0</v>
      </c>
      <c r="T77" s="332">
        <v>0</v>
      </c>
      <c r="U77" s="494">
        <f t="shared" si="30"/>
        <v>15</v>
      </c>
      <c r="V77" s="332">
        <v>0</v>
      </c>
      <c r="W77" s="332">
        <v>14</v>
      </c>
      <c r="X77" s="332">
        <v>0</v>
      </c>
      <c r="Y77" s="332">
        <v>0</v>
      </c>
      <c r="Z77" s="332">
        <v>1</v>
      </c>
      <c r="AA77" s="332">
        <v>0</v>
      </c>
      <c r="AB77" s="494">
        <f t="shared" si="31"/>
        <v>3</v>
      </c>
      <c r="AC77" s="26">
        <v>0</v>
      </c>
      <c r="AD77" s="26">
        <v>3</v>
      </c>
      <c r="AE77" s="26">
        <v>0</v>
      </c>
      <c r="AF77" s="26">
        <v>0</v>
      </c>
      <c r="AG77" s="26">
        <v>0</v>
      </c>
      <c r="AH77" s="26">
        <v>0</v>
      </c>
      <c r="AI77" s="345">
        <f>(L77+M77)/J77</f>
        <v>0.3</v>
      </c>
      <c r="AJ77" s="345">
        <f t="shared" si="38"/>
        <v>0.05</v>
      </c>
      <c r="AK77" s="491" t="s">
        <v>73</v>
      </c>
      <c r="AL77" s="495" t="s">
        <v>109</v>
      </c>
      <c r="AM77" s="573" t="s">
        <v>96</v>
      </c>
      <c r="AN77" s="495" t="s">
        <v>84</v>
      </c>
      <c r="AO77" s="555" t="s">
        <v>169</v>
      </c>
      <c r="AP77" s="496"/>
      <c r="AQ77" s="496">
        <v>0.4</v>
      </c>
      <c r="AR77" s="496">
        <v>1.1000000000000001</v>
      </c>
      <c r="AS77" s="496">
        <v>1.34</v>
      </c>
      <c r="AT77" s="570"/>
      <c r="AU77" s="496"/>
      <c r="AV77" s="496"/>
      <c r="AW77" s="127">
        <f t="shared" si="37"/>
        <v>2.84</v>
      </c>
      <c r="AX77" s="518">
        <v>0.7</v>
      </c>
      <c r="AY77" s="518"/>
      <c r="AZ77" s="519"/>
      <c r="BA77" s="129">
        <f t="shared" si="32"/>
        <v>3.54</v>
      </c>
      <c r="BB77" s="129">
        <f t="shared" si="39"/>
        <v>5.9000000000000004E-2</v>
      </c>
      <c r="BC77" s="504">
        <v>50</v>
      </c>
      <c r="BD77" s="504">
        <v>45</v>
      </c>
      <c r="BE77" s="504">
        <v>0</v>
      </c>
      <c r="BF77" s="504">
        <v>30</v>
      </c>
      <c r="BG77" s="504">
        <v>0</v>
      </c>
      <c r="BH77" s="504">
        <v>0</v>
      </c>
      <c r="BI77" s="506">
        <f t="shared" si="33"/>
        <v>95</v>
      </c>
      <c r="BJ77" s="506">
        <f t="shared" si="34"/>
        <v>30</v>
      </c>
      <c r="BK77" s="507">
        <f t="shared" si="35"/>
        <v>0</v>
      </c>
      <c r="BL77" s="571">
        <f t="shared" si="36"/>
        <v>125</v>
      </c>
      <c r="BM77" s="574"/>
      <c r="BN77" s="510"/>
      <c r="BO77" s="510"/>
      <c r="BP77" s="510"/>
      <c r="BQ77" s="510"/>
      <c r="BR77" s="510"/>
      <c r="BS77" s="510"/>
      <c r="BT77" s="510"/>
      <c r="BU77" s="510"/>
      <c r="BV77" s="510"/>
      <c r="BW77" s="510"/>
      <c r="BX77" s="510"/>
      <c r="BY77" s="510"/>
      <c r="BZ77" s="510"/>
      <c r="CA77" s="510"/>
      <c r="CB77" s="510"/>
      <c r="CC77" s="510"/>
      <c r="CD77" s="510"/>
      <c r="CE77" s="510"/>
      <c r="CF77" s="510"/>
      <c r="CG77" s="510"/>
      <c r="CH77" s="510"/>
      <c r="CI77" s="510"/>
    </row>
    <row r="78" spans="1:87" ht="13.5" customHeight="1">
      <c r="A78" s="324" t="s">
        <v>273</v>
      </c>
      <c r="B78" s="617" t="s">
        <v>274</v>
      </c>
      <c r="C78" s="66" t="s">
        <v>272</v>
      </c>
      <c r="D78" s="55" t="s">
        <v>108</v>
      </c>
      <c r="E78" s="58" t="s">
        <v>491</v>
      </c>
      <c r="F78" s="173" t="s">
        <v>81</v>
      </c>
      <c r="G78" s="173" t="s">
        <v>81</v>
      </c>
      <c r="H78" s="590" t="s">
        <v>114</v>
      </c>
      <c r="I78" s="595" t="s">
        <v>72</v>
      </c>
      <c r="J78" s="592">
        <v>33</v>
      </c>
      <c r="K78" s="216">
        <v>19</v>
      </c>
      <c r="L78" s="216">
        <v>8</v>
      </c>
      <c r="M78" s="216">
        <v>6</v>
      </c>
      <c r="N78" s="172">
        <f t="shared" si="29"/>
        <v>19</v>
      </c>
      <c r="O78" s="331">
        <v>0</v>
      </c>
      <c r="P78" s="331">
        <v>2</v>
      </c>
      <c r="Q78" s="331">
        <v>9</v>
      </c>
      <c r="R78" s="331">
        <v>8</v>
      </c>
      <c r="S78" s="331">
        <v>0</v>
      </c>
      <c r="T78" s="331">
        <v>0</v>
      </c>
      <c r="U78" s="172">
        <f t="shared" si="30"/>
        <v>8</v>
      </c>
      <c r="V78" s="290">
        <v>0</v>
      </c>
      <c r="W78" s="290">
        <v>8</v>
      </c>
      <c r="X78" s="290">
        <v>0</v>
      </c>
      <c r="Y78" s="290">
        <v>0</v>
      </c>
      <c r="Z78" s="290">
        <v>0</v>
      </c>
      <c r="AA78" s="290">
        <v>0</v>
      </c>
      <c r="AB78" s="172">
        <f t="shared" si="31"/>
        <v>6</v>
      </c>
      <c r="AC78" s="69">
        <v>0</v>
      </c>
      <c r="AD78" s="69">
        <v>4</v>
      </c>
      <c r="AE78" s="69">
        <v>1</v>
      </c>
      <c r="AF78" s="69">
        <v>1</v>
      </c>
      <c r="AG78" s="69">
        <v>0</v>
      </c>
      <c r="AH78" s="69">
        <v>0</v>
      </c>
      <c r="AI78" s="345">
        <f>(U78+AB78)/J78</f>
        <v>0.42424242424242425</v>
      </c>
      <c r="AJ78" s="345">
        <f t="shared" si="38"/>
        <v>0.18181818181818182</v>
      </c>
      <c r="AK78" s="46" t="s">
        <v>73</v>
      </c>
      <c r="AL78" s="173" t="s">
        <v>114</v>
      </c>
      <c r="AM78" s="266" t="s">
        <v>72</v>
      </c>
      <c r="AN78" s="169" t="s">
        <v>71</v>
      </c>
      <c r="AO78" s="188" t="s">
        <v>88</v>
      </c>
      <c r="AP78" s="248">
        <v>1</v>
      </c>
      <c r="AQ78" s="248">
        <v>0.45500000000000002</v>
      </c>
      <c r="AR78" s="248"/>
      <c r="AS78" s="248"/>
      <c r="AT78" s="248"/>
      <c r="AU78" s="248"/>
      <c r="AV78" s="248"/>
      <c r="AW78" s="127">
        <f t="shared" si="37"/>
        <v>1.4550000000000001</v>
      </c>
      <c r="AX78" s="286">
        <v>0.4</v>
      </c>
      <c r="AY78" s="286">
        <v>9.2399999999999996E-2</v>
      </c>
      <c r="AZ78" s="297"/>
      <c r="BA78" s="129">
        <f t="shared" si="32"/>
        <v>1.9474</v>
      </c>
      <c r="BB78" s="129">
        <f t="shared" si="39"/>
        <v>5.901212121212121E-2</v>
      </c>
      <c r="BC78" s="40">
        <v>30</v>
      </c>
      <c r="BD78" s="54">
        <v>50</v>
      </c>
      <c r="BE78" s="54">
        <v>90</v>
      </c>
      <c r="BF78" s="54">
        <v>70</v>
      </c>
      <c r="BG78" s="85">
        <v>0</v>
      </c>
      <c r="BH78" s="85">
        <v>0</v>
      </c>
      <c r="BI78" s="31">
        <f t="shared" si="33"/>
        <v>80</v>
      </c>
      <c r="BJ78" s="31">
        <f t="shared" si="34"/>
        <v>160</v>
      </c>
      <c r="BK78" s="32">
        <f t="shared" si="35"/>
        <v>0</v>
      </c>
      <c r="BL78" s="362">
        <f t="shared" si="36"/>
        <v>240</v>
      </c>
      <c r="BM78" s="366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</row>
    <row r="79" spans="1:87" ht="13.5" customHeight="1">
      <c r="A79" s="324" t="s">
        <v>270</v>
      </c>
      <c r="B79" s="626" t="s">
        <v>271</v>
      </c>
      <c r="C79" s="45" t="s">
        <v>272</v>
      </c>
      <c r="D79" s="55" t="s">
        <v>108</v>
      </c>
      <c r="E79" s="58" t="s">
        <v>491</v>
      </c>
      <c r="F79" s="173" t="s">
        <v>81</v>
      </c>
      <c r="G79" s="173" t="s">
        <v>81</v>
      </c>
      <c r="H79" s="189" t="s">
        <v>109</v>
      </c>
      <c r="I79" s="201" t="s">
        <v>169</v>
      </c>
      <c r="J79" s="220">
        <v>35</v>
      </c>
      <c r="K79" s="219">
        <v>27</v>
      </c>
      <c r="L79" s="219">
        <v>8</v>
      </c>
      <c r="M79" s="219">
        <v>0</v>
      </c>
      <c r="N79" s="172">
        <f t="shared" si="29"/>
        <v>27</v>
      </c>
      <c r="O79" s="332">
        <v>0</v>
      </c>
      <c r="P79" s="332">
        <v>15</v>
      </c>
      <c r="Q79" s="332">
        <v>12</v>
      </c>
      <c r="R79" s="332">
        <v>0</v>
      </c>
      <c r="S79" s="332">
        <v>0</v>
      </c>
      <c r="T79" s="332">
        <v>0</v>
      </c>
      <c r="U79" s="172">
        <f t="shared" si="30"/>
        <v>8</v>
      </c>
      <c r="V79" s="178">
        <v>0</v>
      </c>
      <c r="W79" s="178">
        <v>8</v>
      </c>
      <c r="X79" s="178">
        <v>0</v>
      </c>
      <c r="Y79" s="178">
        <v>0</v>
      </c>
      <c r="Z79" s="178">
        <v>0</v>
      </c>
      <c r="AA79" s="178">
        <v>0</v>
      </c>
      <c r="AB79" s="172">
        <f t="shared" si="31"/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345">
        <f>(U79+AB79)/J79</f>
        <v>0.22857142857142856</v>
      </c>
      <c r="AJ79" s="345">
        <f t="shared" si="38"/>
        <v>0</v>
      </c>
      <c r="AK79" s="46" t="s">
        <v>73</v>
      </c>
      <c r="AL79" s="169" t="s">
        <v>109</v>
      </c>
      <c r="AM79" s="185" t="s">
        <v>82</v>
      </c>
      <c r="AN79" s="169" t="s">
        <v>75</v>
      </c>
      <c r="AO79" s="188" t="s">
        <v>72</v>
      </c>
      <c r="AP79" s="248"/>
      <c r="AQ79" s="248">
        <v>0.5</v>
      </c>
      <c r="AR79" s="249">
        <v>1.2649999999999999</v>
      </c>
      <c r="AS79" s="249">
        <v>0.3</v>
      </c>
      <c r="AT79" s="248"/>
      <c r="AU79" s="248"/>
      <c r="AV79" s="248"/>
      <c r="AW79" s="127">
        <f t="shared" si="37"/>
        <v>2.0649999999999999</v>
      </c>
      <c r="AX79" s="286"/>
      <c r="AY79" s="286"/>
      <c r="AZ79" s="177"/>
      <c r="BA79" s="129">
        <f t="shared" si="32"/>
        <v>2.0649999999999999</v>
      </c>
      <c r="BB79" s="129">
        <f t="shared" si="39"/>
        <v>5.8999999999999997E-2</v>
      </c>
      <c r="BC79" s="40">
        <v>30</v>
      </c>
      <c r="BD79" s="54">
        <v>50</v>
      </c>
      <c r="BE79" s="54">
        <v>90</v>
      </c>
      <c r="BF79" s="54">
        <v>70</v>
      </c>
      <c r="BG79" s="85">
        <v>0</v>
      </c>
      <c r="BH79" s="85">
        <v>0</v>
      </c>
      <c r="BI79" s="31">
        <f t="shared" si="33"/>
        <v>80</v>
      </c>
      <c r="BJ79" s="31">
        <f t="shared" si="34"/>
        <v>160</v>
      </c>
      <c r="BK79" s="32">
        <f t="shared" si="35"/>
        <v>0</v>
      </c>
      <c r="BL79" s="362">
        <f t="shared" si="36"/>
        <v>240</v>
      </c>
      <c r="BM79" s="366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</row>
    <row r="80" spans="1:87" ht="12.75" customHeight="1">
      <c r="A80" s="320" t="s">
        <v>278</v>
      </c>
      <c r="B80" s="95" t="s">
        <v>279</v>
      </c>
      <c r="C80" s="42" t="s">
        <v>272</v>
      </c>
      <c r="D80" s="76" t="s">
        <v>108</v>
      </c>
      <c r="E80" s="58" t="s">
        <v>491</v>
      </c>
      <c r="F80" s="173" t="s">
        <v>70</v>
      </c>
      <c r="G80" s="173" t="s">
        <v>70</v>
      </c>
      <c r="H80" s="189" t="s">
        <v>114</v>
      </c>
      <c r="I80" s="196" t="s">
        <v>82</v>
      </c>
      <c r="J80" s="229">
        <v>20</v>
      </c>
      <c r="K80" s="219">
        <v>13</v>
      </c>
      <c r="L80" s="219">
        <v>6</v>
      </c>
      <c r="M80" s="219">
        <v>1</v>
      </c>
      <c r="N80" s="172">
        <f t="shared" si="29"/>
        <v>13</v>
      </c>
      <c r="O80" s="332"/>
      <c r="P80" s="332">
        <v>5</v>
      </c>
      <c r="Q80" s="332">
        <v>8</v>
      </c>
      <c r="R80" s="332"/>
      <c r="S80" s="332"/>
      <c r="T80" s="332"/>
      <c r="U80" s="172">
        <f t="shared" si="30"/>
        <v>6</v>
      </c>
      <c r="V80" s="332"/>
      <c r="W80" s="332">
        <v>4</v>
      </c>
      <c r="X80" s="332">
        <v>1</v>
      </c>
      <c r="Y80" s="332">
        <v>1</v>
      </c>
      <c r="Z80" s="332"/>
      <c r="AA80" s="332"/>
      <c r="AB80" s="172">
        <f t="shared" si="31"/>
        <v>1</v>
      </c>
      <c r="AC80" s="43"/>
      <c r="AD80" s="43">
        <v>1</v>
      </c>
      <c r="AE80" s="43"/>
      <c r="AF80" s="43"/>
      <c r="AG80" s="43"/>
      <c r="AH80" s="43"/>
      <c r="AI80" s="345">
        <f>(L80+M80)/J80</f>
        <v>0.35</v>
      </c>
      <c r="AJ80" s="345">
        <f t="shared" si="38"/>
        <v>0.05</v>
      </c>
      <c r="AK80" s="46" t="s">
        <v>73</v>
      </c>
      <c r="AL80" s="195" t="s">
        <v>114</v>
      </c>
      <c r="AM80" s="193" t="s">
        <v>82</v>
      </c>
      <c r="AN80" s="173" t="s">
        <v>109</v>
      </c>
      <c r="AO80" s="193" t="s">
        <v>82</v>
      </c>
      <c r="AP80" s="251">
        <v>0.82599999999999996</v>
      </c>
      <c r="AQ80" s="249">
        <v>0.73399999999999999</v>
      </c>
      <c r="AR80" s="244"/>
      <c r="AS80" s="244"/>
      <c r="AT80" s="244"/>
      <c r="AU80" s="244"/>
      <c r="AV80" s="246"/>
      <c r="AW80" s="127">
        <f t="shared" si="37"/>
        <v>1.56</v>
      </c>
      <c r="AX80" s="177"/>
      <c r="AY80" s="177"/>
      <c r="AZ80" s="279"/>
      <c r="BA80" s="129">
        <f t="shared" si="32"/>
        <v>1.56</v>
      </c>
      <c r="BB80" s="129">
        <f t="shared" si="39"/>
        <v>7.8E-2</v>
      </c>
      <c r="BC80" s="40">
        <v>30</v>
      </c>
      <c r="BD80" s="40">
        <v>50</v>
      </c>
      <c r="BE80" s="40">
        <v>50</v>
      </c>
      <c r="BF80" s="40">
        <v>30</v>
      </c>
      <c r="BG80" s="40">
        <v>20</v>
      </c>
      <c r="BH80" s="40">
        <v>20</v>
      </c>
      <c r="BI80" s="31">
        <f t="shared" si="33"/>
        <v>80</v>
      </c>
      <c r="BJ80" s="31">
        <f t="shared" si="34"/>
        <v>80</v>
      </c>
      <c r="BK80" s="32">
        <f t="shared" si="35"/>
        <v>40</v>
      </c>
      <c r="BL80" s="362">
        <f t="shared" si="36"/>
        <v>200</v>
      </c>
      <c r="BM80" s="367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</row>
    <row r="81" spans="1:87" ht="13.5" customHeight="1">
      <c r="A81" s="320" t="s">
        <v>275</v>
      </c>
      <c r="B81" s="311" t="s">
        <v>276</v>
      </c>
      <c r="C81" s="23" t="s">
        <v>272</v>
      </c>
      <c r="D81" s="58" t="s">
        <v>108</v>
      </c>
      <c r="E81" s="58" t="s">
        <v>491</v>
      </c>
      <c r="F81" s="173" t="s">
        <v>70</v>
      </c>
      <c r="G81" s="173" t="s">
        <v>70</v>
      </c>
      <c r="H81" s="189" t="s">
        <v>114</v>
      </c>
      <c r="I81" s="196" t="s">
        <v>82</v>
      </c>
      <c r="J81" s="229">
        <v>10</v>
      </c>
      <c r="K81" s="216">
        <v>10</v>
      </c>
      <c r="L81" s="216"/>
      <c r="M81" s="216"/>
      <c r="N81" s="172">
        <f t="shared" si="29"/>
        <v>10</v>
      </c>
      <c r="O81" s="331"/>
      <c r="P81" s="331">
        <v>10</v>
      </c>
      <c r="Q81" s="331"/>
      <c r="R81" s="331"/>
      <c r="S81" s="331"/>
      <c r="T81" s="331"/>
      <c r="U81" s="172">
        <f t="shared" si="30"/>
        <v>0</v>
      </c>
      <c r="V81" s="332"/>
      <c r="W81" s="332"/>
      <c r="X81" s="332"/>
      <c r="Y81" s="332"/>
      <c r="Z81" s="332"/>
      <c r="AA81" s="332"/>
      <c r="AB81" s="172">
        <f t="shared" si="31"/>
        <v>0</v>
      </c>
      <c r="AC81" s="43"/>
      <c r="AD81" s="43"/>
      <c r="AE81" s="43"/>
      <c r="AF81" s="43"/>
      <c r="AG81" s="43"/>
      <c r="AH81" s="43"/>
      <c r="AI81" s="345">
        <f>(L81+M81)/J81</f>
        <v>0</v>
      </c>
      <c r="AJ81" s="345">
        <f t="shared" si="38"/>
        <v>0</v>
      </c>
      <c r="AK81" s="46" t="s">
        <v>136</v>
      </c>
      <c r="AL81" s="195" t="s">
        <v>114</v>
      </c>
      <c r="AM81" s="193" t="s">
        <v>82</v>
      </c>
      <c r="AN81" s="173" t="s">
        <v>109</v>
      </c>
      <c r="AO81" s="193" t="s">
        <v>82</v>
      </c>
      <c r="AP81" s="251">
        <v>0.495</v>
      </c>
      <c r="AQ81" s="356"/>
      <c r="AR81" s="244"/>
      <c r="AS81" s="244"/>
      <c r="AT81" s="244"/>
      <c r="AU81" s="244"/>
      <c r="AV81" s="246"/>
      <c r="AW81" s="127">
        <f t="shared" si="37"/>
        <v>0.495</v>
      </c>
      <c r="AX81" s="287"/>
      <c r="AY81" s="287"/>
      <c r="AZ81" s="294"/>
      <c r="BA81" s="129">
        <f t="shared" si="32"/>
        <v>0.495</v>
      </c>
      <c r="BB81" s="129">
        <f t="shared" si="39"/>
        <v>4.9500000000000002E-2</v>
      </c>
      <c r="BC81" s="40">
        <v>30</v>
      </c>
      <c r="BD81" s="40">
        <v>50</v>
      </c>
      <c r="BE81" s="40">
        <v>50</v>
      </c>
      <c r="BF81" s="40">
        <v>30</v>
      </c>
      <c r="BG81" s="40">
        <v>0</v>
      </c>
      <c r="BH81" s="40">
        <v>0</v>
      </c>
      <c r="BI81" s="31">
        <f t="shared" si="33"/>
        <v>80</v>
      </c>
      <c r="BJ81" s="31">
        <f t="shared" si="34"/>
        <v>80</v>
      </c>
      <c r="BK81" s="32">
        <f t="shared" si="35"/>
        <v>0</v>
      </c>
      <c r="BL81" s="362">
        <f t="shared" si="36"/>
        <v>160</v>
      </c>
      <c r="BM81" s="367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</row>
    <row r="82" spans="1:87" ht="12.75" customHeight="1">
      <c r="A82" s="318" t="s">
        <v>280</v>
      </c>
      <c r="B82" s="624" t="s">
        <v>281</v>
      </c>
      <c r="C82" s="48" t="s">
        <v>282</v>
      </c>
      <c r="D82" s="48" t="s">
        <v>112</v>
      </c>
      <c r="E82" s="48" t="s">
        <v>488</v>
      </c>
      <c r="F82" s="195" t="s">
        <v>81</v>
      </c>
      <c r="G82" s="195" t="s">
        <v>81</v>
      </c>
      <c r="H82" s="186" t="s">
        <v>71</v>
      </c>
      <c r="I82" s="194" t="s">
        <v>110</v>
      </c>
      <c r="J82" s="220">
        <v>3</v>
      </c>
      <c r="K82" s="219">
        <v>0</v>
      </c>
      <c r="L82" s="219">
        <v>0</v>
      </c>
      <c r="M82" s="219">
        <v>3</v>
      </c>
      <c r="N82" s="172">
        <f t="shared" si="29"/>
        <v>0</v>
      </c>
      <c r="O82" s="332">
        <v>0</v>
      </c>
      <c r="P82" s="332">
        <v>0</v>
      </c>
      <c r="Q82" s="332">
        <v>0</v>
      </c>
      <c r="R82" s="332">
        <v>0</v>
      </c>
      <c r="S82" s="332">
        <v>0</v>
      </c>
      <c r="T82" s="332">
        <v>0</v>
      </c>
      <c r="U82" s="172">
        <f t="shared" si="30"/>
        <v>0</v>
      </c>
      <c r="V82" s="332">
        <v>0</v>
      </c>
      <c r="W82" s="332">
        <v>0</v>
      </c>
      <c r="X82" s="332">
        <v>0</v>
      </c>
      <c r="Y82" s="332">
        <v>0</v>
      </c>
      <c r="Z82" s="332">
        <v>0</v>
      </c>
      <c r="AA82" s="332">
        <v>0</v>
      </c>
      <c r="AB82" s="172">
        <f t="shared" si="31"/>
        <v>3</v>
      </c>
      <c r="AC82" s="43">
        <v>0</v>
      </c>
      <c r="AD82" s="43">
        <v>3</v>
      </c>
      <c r="AE82" s="43">
        <v>0</v>
      </c>
      <c r="AF82" s="43">
        <v>0</v>
      </c>
      <c r="AG82" s="43">
        <v>0</v>
      </c>
      <c r="AH82" s="43">
        <v>0</v>
      </c>
      <c r="AI82" s="345">
        <f>(U82+AB82)/J82</f>
        <v>1</v>
      </c>
      <c r="AJ82" s="345">
        <f t="shared" si="38"/>
        <v>1</v>
      </c>
      <c r="AK82" s="46" t="s">
        <v>73</v>
      </c>
      <c r="AL82" s="166" t="s">
        <v>71</v>
      </c>
      <c r="AM82" s="276" t="s">
        <v>85</v>
      </c>
      <c r="AN82" s="166" t="s">
        <v>71</v>
      </c>
      <c r="AO82" s="167" t="s">
        <v>96</v>
      </c>
      <c r="AP82" s="248"/>
      <c r="AQ82" s="496"/>
      <c r="AR82" s="496">
        <v>0.17249999999999999</v>
      </c>
      <c r="AS82" s="248"/>
      <c r="AT82" s="248"/>
      <c r="AU82" s="248"/>
      <c r="AV82" s="248"/>
      <c r="AW82" s="127">
        <f t="shared" si="37"/>
        <v>0.17249999999999999</v>
      </c>
      <c r="AX82" s="286"/>
      <c r="AY82" s="286">
        <v>4.4999999999999997E-3</v>
      </c>
      <c r="AZ82" s="176"/>
      <c r="BA82" s="129">
        <f t="shared" si="32"/>
        <v>0.17699999999999999</v>
      </c>
      <c r="BB82" s="129">
        <f t="shared" si="39"/>
        <v>5.8999999999999997E-2</v>
      </c>
      <c r="BC82" s="40">
        <v>40</v>
      </c>
      <c r="BD82" s="54">
        <v>0</v>
      </c>
      <c r="BE82" s="54">
        <v>50</v>
      </c>
      <c r="BF82" s="54">
        <v>30</v>
      </c>
      <c r="BG82" s="54">
        <v>0</v>
      </c>
      <c r="BH82" s="54">
        <v>0</v>
      </c>
      <c r="BI82" s="31">
        <f t="shared" si="33"/>
        <v>40</v>
      </c>
      <c r="BJ82" s="31">
        <f t="shared" si="34"/>
        <v>80</v>
      </c>
      <c r="BK82" s="32">
        <f t="shared" si="35"/>
        <v>0</v>
      </c>
      <c r="BL82" s="362">
        <f t="shared" si="36"/>
        <v>120</v>
      </c>
      <c r="BM82" s="366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</row>
    <row r="83" spans="1:87" ht="13.5" customHeight="1">
      <c r="A83" s="324" t="s">
        <v>283</v>
      </c>
      <c r="B83" s="606" t="s">
        <v>284</v>
      </c>
      <c r="C83" s="66" t="s">
        <v>282</v>
      </c>
      <c r="D83" s="404" t="s">
        <v>112</v>
      </c>
      <c r="E83" s="404" t="s">
        <v>488</v>
      </c>
      <c r="F83" s="173" t="s">
        <v>81</v>
      </c>
      <c r="G83" s="173" t="s">
        <v>81</v>
      </c>
      <c r="H83" s="185" t="s">
        <v>71</v>
      </c>
      <c r="I83" s="190" t="s">
        <v>110</v>
      </c>
      <c r="J83" s="230">
        <v>20</v>
      </c>
      <c r="K83" s="226">
        <v>14</v>
      </c>
      <c r="L83" s="226">
        <v>5</v>
      </c>
      <c r="M83" s="226">
        <v>1</v>
      </c>
      <c r="N83" s="172">
        <f t="shared" si="29"/>
        <v>14</v>
      </c>
      <c r="O83" s="290">
        <v>0</v>
      </c>
      <c r="P83" s="290">
        <v>7</v>
      </c>
      <c r="Q83" s="290">
        <v>6</v>
      </c>
      <c r="R83" s="290">
        <v>1</v>
      </c>
      <c r="S83" s="290">
        <v>0</v>
      </c>
      <c r="T83" s="290">
        <v>0</v>
      </c>
      <c r="U83" s="172">
        <f t="shared" si="30"/>
        <v>5</v>
      </c>
      <c r="V83" s="290">
        <v>0</v>
      </c>
      <c r="W83" s="290">
        <v>5</v>
      </c>
      <c r="X83" s="290">
        <v>0</v>
      </c>
      <c r="Y83" s="290">
        <v>0</v>
      </c>
      <c r="Z83" s="290">
        <v>0</v>
      </c>
      <c r="AA83" s="290">
        <v>0</v>
      </c>
      <c r="AB83" s="172">
        <f t="shared" si="31"/>
        <v>1</v>
      </c>
      <c r="AC83" s="69">
        <v>0</v>
      </c>
      <c r="AD83" s="69">
        <v>1</v>
      </c>
      <c r="AE83" s="69">
        <v>0</v>
      </c>
      <c r="AF83" s="69">
        <v>0</v>
      </c>
      <c r="AG83" s="69">
        <v>0</v>
      </c>
      <c r="AH83" s="69">
        <v>0</v>
      </c>
      <c r="AI83" s="345">
        <f>(U83+AB83)/J83</f>
        <v>0.3</v>
      </c>
      <c r="AJ83" s="345">
        <f t="shared" si="38"/>
        <v>0.05</v>
      </c>
      <c r="AK83" s="46" t="s">
        <v>73</v>
      </c>
      <c r="AL83" s="185" t="s">
        <v>71</v>
      </c>
      <c r="AM83" s="199" t="s">
        <v>110</v>
      </c>
      <c r="AN83" s="185" t="s">
        <v>75</v>
      </c>
      <c r="AO83" s="190" t="s">
        <v>110</v>
      </c>
      <c r="AP83" s="248"/>
      <c r="AQ83" s="249"/>
      <c r="AR83" s="249">
        <v>0.59</v>
      </c>
      <c r="AS83" s="249">
        <v>0.59</v>
      </c>
      <c r="AT83" s="248"/>
      <c r="AU83" s="248"/>
      <c r="AV83" s="248"/>
      <c r="AW83" s="127">
        <f t="shared" si="37"/>
        <v>1.18</v>
      </c>
      <c r="AX83" s="286"/>
      <c r="AY83" s="286"/>
      <c r="AZ83" s="291"/>
      <c r="BA83" s="129">
        <f t="shared" si="32"/>
        <v>1.18</v>
      </c>
      <c r="BB83" s="129">
        <f t="shared" si="39"/>
        <v>5.8999999999999997E-2</v>
      </c>
      <c r="BC83" s="40">
        <v>40</v>
      </c>
      <c r="BD83" s="54">
        <v>0</v>
      </c>
      <c r="BE83" s="54">
        <v>0</v>
      </c>
      <c r="BF83" s="54">
        <v>30</v>
      </c>
      <c r="BG83" s="54">
        <v>0</v>
      </c>
      <c r="BH83" s="54">
        <v>0</v>
      </c>
      <c r="BI83" s="31">
        <f t="shared" si="33"/>
        <v>40</v>
      </c>
      <c r="BJ83" s="31">
        <f t="shared" si="34"/>
        <v>30</v>
      </c>
      <c r="BK83" s="32">
        <f t="shared" si="35"/>
        <v>0</v>
      </c>
      <c r="BL83" s="362">
        <f t="shared" si="36"/>
        <v>70</v>
      </c>
      <c r="BM83" s="368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</row>
    <row r="84" spans="1:87" ht="12.75" customHeight="1">
      <c r="A84" s="318" t="s">
        <v>285</v>
      </c>
      <c r="B84" s="95" t="s">
        <v>286</v>
      </c>
      <c r="C84" s="76" t="s">
        <v>287</v>
      </c>
      <c r="D84" s="76" t="s">
        <v>69</v>
      </c>
      <c r="E84" s="76" t="s">
        <v>488</v>
      </c>
      <c r="F84" s="173" t="s">
        <v>70</v>
      </c>
      <c r="G84" s="173" t="s">
        <v>135</v>
      </c>
      <c r="H84" s="189" t="s">
        <v>84</v>
      </c>
      <c r="I84" s="173" t="s">
        <v>104</v>
      </c>
      <c r="J84" s="229">
        <v>12</v>
      </c>
      <c r="K84" s="219">
        <v>8</v>
      </c>
      <c r="L84" s="219">
        <v>4</v>
      </c>
      <c r="M84" s="219">
        <v>0</v>
      </c>
      <c r="N84" s="172">
        <f t="shared" si="29"/>
        <v>8</v>
      </c>
      <c r="O84" s="332"/>
      <c r="P84" s="332">
        <v>6</v>
      </c>
      <c r="Q84" s="332">
        <v>2</v>
      </c>
      <c r="R84" s="332"/>
      <c r="S84" s="332"/>
      <c r="T84" s="332"/>
      <c r="U84" s="172">
        <f t="shared" si="30"/>
        <v>4</v>
      </c>
      <c r="V84" s="332"/>
      <c r="W84" s="332">
        <v>4</v>
      </c>
      <c r="X84" s="332"/>
      <c r="Y84" s="332"/>
      <c r="Z84" s="332"/>
      <c r="AA84" s="332"/>
      <c r="AB84" s="172">
        <f t="shared" si="31"/>
        <v>0</v>
      </c>
      <c r="AC84" s="43"/>
      <c r="AD84" s="43"/>
      <c r="AE84" s="43"/>
      <c r="AF84" s="43"/>
      <c r="AG84" s="43"/>
      <c r="AH84" s="43"/>
      <c r="AI84" s="345">
        <f>(L84+M84)/J84</f>
        <v>0.33333333333333331</v>
      </c>
      <c r="AJ84" s="345">
        <f t="shared" si="38"/>
        <v>0</v>
      </c>
      <c r="AK84" s="46" t="s">
        <v>136</v>
      </c>
      <c r="AL84" s="173" t="s">
        <v>84</v>
      </c>
      <c r="AM84" s="173" t="s">
        <v>104</v>
      </c>
      <c r="AN84" s="173" t="s">
        <v>84</v>
      </c>
      <c r="AO84" s="173" t="s">
        <v>97</v>
      </c>
      <c r="AP84" s="244"/>
      <c r="AQ84" s="244"/>
      <c r="AR84" s="244"/>
      <c r="AS84" s="244"/>
      <c r="AT84" s="244">
        <v>0.56399999999999995</v>
      </c>
      <c r="AU84" s="244"/>
      <c r="AV84" s="246"/>
      <c r="AW84" s="127">
        <f t="shared" si="37"/>
        <v>0.56399999999999995</v>
      </c>
      <c r="AX84" s="176"/>
      <c r="AY84" s="176"/>
      <c r="AZ84" s="176"/>
      <c r="BA84" s="129">
        <f t="shared" si="32"/>
        <v>0.56399999999999995</v>
      </c>
      <c r="BB84" s="129">
        <f t="shared" si="39"/>
        <v>4.6999999999999993E-2</v>
      </c>
      <c r="BC84" s="54">
        <v>40</v>
      </c>
      <c r="BD84" s="54">
        <v>45</v>
      </c>
      <c r="BE84" s="54">
        <v>0</v>
      </c>
      <c r="BF84" s="54">
        <v>10</v>
      </c>
      <c r="BG84" s="65">
        <v>0</v>
      </c>
      <c r="BH84" s="54">
        <v>0</v>
      </c>
      <c r="BI84" s="31">
        <f t="shared" si="33"/>
        <v>85</v>
      </c>
      <c r="BJ84" s="31">
        <f t="shared" si="34"/>
        <v>10</v>
      </c>
      <c r="BK84" s="32">
        <f t="shared" si="35"/>
        <v>0</v>
      </c>
      <c r="BL84" s="362">
        <f t="shared" si="36"/>
        <v>95</v>
      </c>
      <c r="BM84" s="366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</row>
    <row r="85" spans="1:87" ht="13.5" customHeight="1">
      <c r="A85" s="324" t="s">
        <v>288</v>
      </c>
      <c r="B85" s="311" t="s">
        <v>289</v>
      </c>
      <c r="C85" s="78" t="s">
        <v>287</v>
      </c>
      <c r="D85" s="58" t="s">
        <v>69</v>
      </c>
      <c r="E85" s="76" t="s">
        <v>488</v>
      </c>
      <c r="F85" s="173" t="s">
        <v>70</v>
      </c>
      <c r="G85" s="173" t="s">
        <v>70</v>
      </c>
      <c r="H85" s="189" t="s">
        <v>146</v>
      </c>
      <c r="I85" s="190" t="s">
        <v>97</v>
      </c>
      <c r="J85" s="224">
        <v>61</v>
      </c>
      <c r="K85" s="216">
        <v>42</v>
      </c>
      <c r="L85" s="216">
        <v>16</v>
      </c>
      <c r="M85" s="226">
        <v>3</v>
      </c>
      <c r="N85" s="172">
        <f t="shared" si="29"/>
        <v>42</v>
      </c>
      <c r="O85" s="290"/>
      <c r="P85" s="290">
        <v>16</v>
      </c>
      <c r="Q85" s="290">
        <v>15</v>
      </c>
      <c r="R85" s="290">
        <v>7</v>
      </c>
      <c r="S85" s="290">
        <v>4</v>
      </c>
      <c r="T85" s="290"/>
      <c r="U85" s="172">
        <f t="shared" si="30"/>
        <v>16</v>
      </c>
      <c r="V85" s="290"/>
      <c r="W85" s="290">
        <v>16</v>
      </c>
      <c r="X85" s="290"/>
      <c r="Y85" s="290"/>
      <c r="Z85" s="290"/>
      <c r="AA85" s="290"/>
      <c r="AB85" s="172">
        <f t="shared" si="31"/>
        <v>3</v>
      </c>
      <c r="AC85" s="69"/>
      <c r="AD85" s="69">
        <v>2</v>
      </c>
      <c r="AE85" s="69">
        <v>1</v>
      </c>
      <c r="AF85" s="69"/>
      <c r="AG85" s="69"/>
      <c r="AH85" s="69"/>
      <c r="AI85" s="345">
        <f>(L85+M85)/J85</f>
        <v>0.31147540983606559</v>
      </c>
      <c r="AJ85" s="345">
        <f t="shared" si="38"/>
        <v>4.9180327868852458E-2</v>
      </c>
      <c r="AK85" s="46" t="s">
        <v>73</v>
      </c>
      <c r="AL85" s="173" t="s">
        <v>103</v>
      </c>
      <c r="AM85" s="243" t="s">
        <v>97</v>
      </c>
      <c r="AN85" s="169" t="s">
        <v>71</v>
      </c>
      <c r="AO85" s="277" t="s">
        <v>85</v>
      </c>
      <c r="AP85" s="251">
        <v>3.6</v>
      </c>
      <c r="AQ85" s="251">
        <v>1.554</v>
      </c>
      <c r="AR85" s="244"/>
      <c r="AS85" s="244"/>
      <c r="AT85" s="244"/>
      <c r="AU85" s="244"/>
      <c r="AV85" s="246"/>
      <c r="AW85" s="127">
        <f t="shared" si="37"/>
        <v>5.1539999999999999</v>
      </c>
      <c r="AX85" s="289"/>
      <c r="AY85" s="290"/>
      <c r="AZ85" s="291"/>
      <c r="BA85" s="129">
        <f t="shared" si="32"/>
        <v>5.1539999999999999</v>
      </c>
      <c r="BB85" s="129">
        <f t="shared" si="39"/>
        <v>8.4491803278688521E-2</v>
      </c>
      <c r="BC85" s="54">
        <v>40</v>
      </c>
      <c r="BD85" s="54">
        <v>45</v>
      </c>
      <c r="BE85" s="54">
        <v>80</v>
      </c>
      <c r="BF85" s="54">
        <v>70</v>
      </c>
      <c r="BG85" s="65">
        <v>0</v>
      </c>
      <c r="BH85" s="53">
        <v>0</v>
      </c>
      <c r="BI85" s="31">
        <f t="shared" si="33"/>
        <v>85</v>
      </c>
      <c r="BJ85" s="31">
        <f t="shared" si="34"/>
        <v>150</v>
      </c>
      <c r="BK85" s="32">
        <f t="shared" si="35"/>
        <v>0</v>
      </c>
      <c r="BL85" s="362">
        <f t="shared" si="36"/>
        <v>235</v>
      </c>
      <c r="BM85" s="368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</row>
    <row r="86" spans="1:87" ht="12.75" customHeight="1">
      <c r="A86" s="318" t="s">
        <v>290</v>
      </c>
      <c r="B86" s="95" t="s">
        <v>291</v>
      </c>
      <c r="C86" s="76" t="s">
        <v>287</v>
      </c>
      <c r="D86" s="76" t="s">
        <v>69</v>
      </c>
      <c r="E86" s="76" t="s">
        <v>488</v>
      </c>
      <c r="F86" s="173" t="s">
        <v>70</v>
      </c>
      <c r="G86" s="173" t="s">
        <v>70</v>
      </c>
      <c r="H86" s="170" t="s">
        <v>71</v>
      </c>
      <c r="I86" s="194" t="s">
        <v>110</v>
      </c>
      <c r="J86" s="229">
        <v>47</v>
      </c>
      <c r="K86" s="219">
        <v>30</v>
      </c>
      <c r="L86" s="219">
        <v>15</v>
      </c>
      <c r="M86" s="219">
        <v>2</v>
      </c>
      <c r="N86" s="172">
        <f t="shared" si="29"/>
        <v>30</v>
      </c>
      <c r="O86" s="332"/>
      <c r="P86" s="332">
        <v>21</v>
      </c>
      <c r="Q86" s="332">
        <v>9</v>
      </c>
      <c r="R86" s="332"/>
      <c r="S86" s="332"/>
      <c r="T86" s="332"/>
      <c r="U86" s="172">
        <f t="shared" si="30"/>
        <v>15</v>
      </c>
      <c r="V86" s="332"/>
      <c r="W86" s="332">
        <v>13</v>
      </c>
      <c r="X86" s="332"/>
      <c r="Y86" s="332">
        <v>2</v>
      </c>
      <c r="Z86" s="332"/>
      <c r="AA86" s="332"/>
      <c r="AB86" s="172">
        <f t="shared" si="31"/>
        <v>2</v>
      </c>
      <c r="AC86" s="43"/>
      <c r="AD86" s="43">
        <v>2</v>
      </c>
      <c r="AE86" s="43"/>
      <c r="AF86" s="43"/>
      <c r="AG86" s="43"/>
      <c r="AH86" s="43"/>
      <c r="AI86" s="345">
        <f>(L86+M86)/J86</f>
        <v>0.36170212765957449</v>
      </c>
      <c r="AJ86" s="345">
        <f t="shared" si="38"/>
        <v>4.2553191489361701E-2</v>
      </c>
      <c r="AK86" s="46" t="s">
        <v>73</v>
      </c>
      <c r="AL86" s="169" t="s">
        <v>71</v>
      </c>
      <c r="AM86" s="169" t="s">
        <v>110</v>
      </c>
      <c r="AN86" s="169" t="s">
        <v>75</v>
      </c>
      <c r="AO86" s="173" t="s">
        <v>97</v>
      </c>
      <c r="AP86" s="244"/>
      <c r="AQ86" s="251"/>
      <c r="AR86" s="251">
        <v>1.8</v>
      </c>
      <c r="AS86" s="245">
        <v>2.0720000000000001</v>
      </c>
      <c r="AT86" s="244"/>
      <c r="AU86" s="244"/>
      <c r="AV86" s="246"/>
      <c r="AW86" s="127">
        <f t="shared" si="37"/>
        <v>3.8719999999999999</v>
      </c>
      <c r="AX86" s="176">
        <v>0.15</v>
      </c>
      <c r="AY86" s="176"/>
      <c r="AZ86" s="176"/>
      <c r="BA86" s="129">
        <f t="shared" si="32"/>
        <v>4.0220000000000002</v>
      </c>
      <c r="BB86" s="129">
        <f t="shared" si="39"/>
        <v>8.5574468085106395E-2</v>
      </c>
      <c r="BC86" s="54">
        <v>40</v>
      </c>
      <c r="BD86" s="54">
        <v>45</v>
      </c>
      <c r="BE86" s="54">
        <v>0</v>
      </c>
      <c r="BF86" s="54">
        <v>70</v>
      </c>
      <c r="BG86" s="65">
        <v>0</v>
      </c>
      <c r="BH86" s="53">
        <v>0</v>
      </c>
      <c r="BI86" s="31">
        <f t="shared" si="33"/>
        <v>85</v>
      </c>
      <c r="BJ86" s="31">
        <f t="shared" si="34"/>
        <v>70</v>
      </c>
      <c r="BK86" s="32">
        <f t="shared" si="35"/>
        <v>0</v>
      </c>
      <c r="BL86" s="362">
        <f t="shared" si="36"/>
        <v>155</v>
      </c>
      <c r="BM86" s="366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</row>
    <row r="87" spans="1:87" ht="12.75" customHeight="1">
      <c r="A87" s="318" t="s">
        <v>292</v>
      </c>
      <c r="B87" s="95" t="s">
        <v>293</v>
      </c>
      <c r="C87" s="76" t="s">
        <v>287</v>
      </c>
      <c r="D87" s="76" t="s">
        <v>69</v>
      </c>
      <c r="E87" s="76" t="s">
        <v>488</v>
      </c>
      <c r="F87" s="173" t="s">
        <v>70</v>
      </c>
      <c r="G87" s="173" t="s">
        <v>70</v>
      </c>
      <c r="H87" s="170" t="s">
        <v>84</v>
      </c>
      <c r="I87" s="171" t="s">
        <v>97</v>
      </c>
      <c r="J87" s="229">
        <v>41</v>
      </c>
      <c r="K87" s="219">
        <v>23</v>
      </c>
      <c r="L87" s="219">
        <v>16</v>
      </c>
      <c r="M87" s="219">
        <v>2</v>
      </c>
      <c r="N87" s="172">
        <f t="shared" si="29"/>
        <v>23</v>
      </c>
      <c r="O87" s="332"/>
      <c r="P87" s="332">
        <v>19</v>
      </c>
      <c r="Q87" s="332">
        <v>4</v>
      </c>
      <c r="R87" s="332"/>
      <c r="S87" s="332"/>
      <c r="T87" s="332"/>
      <c r="U87" s="172">
        <f t="shared" si="30"/>
        <v>17</v>
      </c>
      <c r="V87" s="332"/>
      <c r="W87" s="332">
        <v>10</v>
      </c>
      <c r="X87" s="332">
        <v>3</v>
      </c>
      <c r="Y87" s="332">
        <v>4</v>
      </c>
      <c r="Z87" s="332"/>
      <c r="AA87" s="332"/>
      <c r="AB87" s="172">
        <f t="shared" si="31"/>
        <v>1</v>
      </c>
      <c r="AC87" s="43"/>
      <c r="AD87" s="43">
        <v>1</v>
      </c>
      <c r="AE87" s="43"/>
      <c r="AF87" s="43"/>
      <c r="AG87" s="43"/>
      <c r="AH87" s="43"/>
      <c r="AI87" s="345">
        <f>(L87+M87)/J87</f>
        <v>0.43902439024390244</v>
      </c>
      <c r="AJ87" s="345">
        <f t="shared" si="38"/>
        <v>2.4390243902439025E-2</v>
      </c>
      <c r="AK87" s="46" t="s">
        <v>73</v>
      </c>
      <c r="AL87" s="167" t="s">
        <v>84</v>
      </c>
      <c r="AM87" s="173" t="s">
        <v>97</v>
      </c>
      <c r="AN87" s="169" t="s">
        <v>89</v>
      </c>
      <c r="AO87" s="173" t="s">
        <v>115</v>
      </c>
      <c r="AP87" s="244"/>
      <c r="AQ87" s="244"/>
      <c r="AR87" s="244"/>
      <c r="AS87" s="249"/>
      <c r="AT87" s="249">
        <v>0.3</v>
      </c>
      <c r="AU87" s="249">
        <v>2.34</v>
      </c>
      <c r="AV87" s="246"/>
      <c r="AW87" s="127">
        <f t="shared" si="37"/>
        <v>2.6399999999999997</v>
      </c>
      <c r="AX87" s="176"/>
      <c r="AY87" s="176"/>
      <c r="AZ87" s="176"/>
      <c r="BA87" s="129">
        <f t="shared" si="32"/>
        <v>2.6399999999999997</v>
      </c>
      <c r="BB87" s="129">
        <f t="shared" si="39"/>
        <v>6.4390243902439012E-2</v>
      </c>
      <c r="BC87" s="54">
        <v>40</v>
      </c>
      <c r="BD87" s="54">
        <v>45</v>
      </c>
      <c r="BE87" s="54">
        <v>0</v>
      </c>
      <c r="BF87" s="54">
        <v>30</v>
      </c>
      <c r="BG87" s="53">
        <v>0</v>
      </c>
      <c r="BH87" s="53">
        <v>0</v>
      </c>
      <c r="BI87" s="31">
        <f t="shared" si="33"/>
        <v>85</v>
      </c>
      <c r="BJ87" s="31">
        <f t="shared" si="34"/>
        <v>30</v>
      </c>
      <c r="BK87" s="32">
        <f t="shared" si="35"/>
        <v>0</v>
      </c>
      <c r="BL87" s="362">
        <f t="shared" si="36"/>
        <v>115</v>
      </c>
      <c r="BM87" s="366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</row>
    <row r="88" spans="1:87" ht="12.75" customHeight="1">
      <c r="A88" s="466" t="s">
        <v>294</v>
      </c>
      <c r="B88" s="315" t="s">
        <v>295</v>
      </c>
      <c r="C88" s="52" t="s">
        <v>287</v>
      </c>
      <c r="D88" s="86" t="s">
        <v>69</v>
      </c>
      <c r="E88" s="76" t="s">
        <v>488</v>
      </c>
      <c r="F88" s="194" t="s">
        <v>70</v>
      </c>
      <c r="G88" s="194" t="s">
        <v>70</v>
      </c>
      <c r="H88" s="194" t="s">
        <v>89</v>
      </c>
      <c r="I88" s="200" t="s">
        <v>115</v>
      </c>
      <c r="J88" s="229">
        <v>0</v>
      </c>
      <c r="K88" s="219">
        <v>24</v>
      </c>
      <c r="L88" s="219">
        <v>11</v>
      </c>
      <c r="M88" s="219"/>
      <c r="N88" s="172">
        <f t="shared" si="29"/>
        <v>0</v>
      </c>
      <c r="O88" s="331"/>
      <c r="P88" s="331"/>
      <c r="Q88" s="331"/>
      <c r="R88" s="331"/>
      <c r="S88" s="331"/>
      <c r="T88" s="331"/>
      <c r="U88" s="172">
        <f t="shared" si="30"/>
        <v>0</v>
      </c>
      <c r="V88" s="331"/>
      <c r="W88" s="331"/>
      <c r="X88" s="331"/>
      <c r="Y88" s="331"/>
      <c r="Z88" s="331"/>
      <c r="AA88" s="331"/>
      <c r="AB88" s="172">
        <f t="shared" si="31"/>
        <v>0</v>
      </c>
      <c r="AC88" s="43"/>
      <c r="AD88" s="43"/>
      <c r="AE88" s="43"/>
      <c r="AF88" s="43"/>
      <c r="AG88" s="43"/>
      <c r="AH88" s="43"/>
      <c r="AI88" s="345">
        <v>0</v>
      </c>
      <c r="AJ88" s="345">
        <v>0</v>
      </c>
      <c r="AK88" s="59" t="s">
        <v>73</v>
      </c>
      <c r="AL88" s="194" t="s">
        <v>89</v>
      </c>
      <c r="AM88" s="194" t="s">
        <v>115</v>
      </c>
      <c r="AN88" s="194" t="s">
        <v>133</v>
      </c>
      <c r="AO88" s="169" t="s">
        <v>97</v>
      </c>
      <c r="AP88" s="272"/>
      <c r="AQ88" s="272"/>
      <c r="AR88" s="272"/>
      <c r="AS88" s="272"/>
      <c r="AT88" s="272"/>
      <c r="AU88" s="272">
        <v>1</v>
      </c>
      <c r="AV88" s="174">
        <v>1.73</v>
      </c>
      <c r="AW88" s="127">
        <f t="shared" si="37"/>
        <v>2.73</v>
      </c>
      <c r="AX88" s="176"/>
      <c r="AY88" s="176"/>
      <c r="AZ88" s="176"/>
      <c r="BA88" s="129">
        <f t="shared" si="32"/>
        <v>2.73</v>
      </c>
      <c r="BB88" s="129">
        <f>BA88/35</f>
        <v>7.8E-2</v>
      </c>
      <c r="BC88" s="54">
        <v>40</v>
      </c>
      <c r="BD88" s="54">
        <v>45</v>
      </c>
      <c r="BE88" s="54">
        <v>10</v>
      </c>
      <c r="BF88" s="54">
        <v>30</v>
      </c>
      <c r="BG88" s="54">
        <v>0</v>
      </c>
      <c r="BH88" s="53">
        <v>0</v>
      </c>
      <c r="BI88" s="31">
        <f t="shared" si="33"/>
        <v>85</v>
      </c>
      <c r="BJ88" s="31">
        <f t="shared" si="34"/>
        <v>40</v>
      </c>
      <c r="BK88" s="32">
        <f t="shared" si="35"/>
        <v>0</v>
      </c>
      <c r="BL88" s="361">
        <f t="shared" si="36"/>
        <v>125</v>
      </c>
      <c r="BM88" s="465" t="s">
        <v>497</v>
      </c>
      <c r="BN88" s="1"/>
      <c r="BO88" s="1"/>
      <c r="BP88" s="1"/>
      <c r="BQ88" s="7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</row>
    <row r="89" spans="1:87" ht="12.75" customHeight="1">
      <c r="A89" s="320" t="s">
        <v>299</v>
      </c>
      <c r="B89" s="304" t="s">
        <v>300</v>
      </c>
      <c r="C89" s="42" t="s">
        <v>298</v>
      </c>
      <c r="D89" s="76" t="s">
        <v>102</v>
      </c>
      <c r="E89" s="76" t="s">
        <v>488</v>
      </c>
      <c r="F89" s="173" t="s">
        <v>70</v>
      </c>
      <c r="G89" s="173" t="s">
        <v>70</v>
      </c>
      <c r="H89" s="189" t="s">
        <v>84</v>
      </c>
      <c r="I89" s="192" t="s">
        <v>104</v>
      </c>
      <c r="J89" s="229">
        <v>30</v>
      </c>
      <c r="K89" s="219">
        <v>19</v>
      </c>
      <c r="L89" s="219">
        <v>11</v>
      </c>
      <c r="M89" s="219">
        <v>0</v>
      </c>
      <c r="N89" s="172">
        <f t="shared" si="29"/>
        <v>18</v>
      </c>
      <c r="O89" s="332"/>
      <c r="P89" s="332">
        <v>14</v>
      </c>
      <c r="Q89" s="332">
        <v>4</v>
      </c>
      <c r="R89" s="332"/>
      <c r="S89" s="332"/>
      <c r="T89" s="332"/>
      <c r="U89" s="172">
        <f t="shared" si="30"/>
        <v>12</v>
      </c>
      <c r="V89" s="332"/>
      <c r="W89" s="332">
        <v>11</v>
      </c>
      <c r="X89" s="332">
        <v>1</v>
      </c>
      <c r="Y89" s="332"/>
      <c r="Z89" s="332"/>
      <c r="AA89" s="332"/>
      <c r="AB89" s="172">
        <f t="shared" si="31"/>
        <v>0</v>
      </c>
      <c r="AC89" s="43"/>
      <c r="AD89" s="43"/>
      <c r="AE89" s="43"/>
      <c r="AF89" s="43"/>
      <c r="AG89" s="43"/>
      <c r="AH89" s="43"/>
      <c r="AI89" s="345">
        <f>(L89+M89)/J89</f>
        <v>0.36666666666666664</v>
      </c>
      <c r="AJ89" s="345">
        <f>AB89/J89</f>
        <v>0</v>
      </c>
      <c r="AK89" s="46" t="s">
        <v>73</v>
      </c>
      <c r="AL89" s="173" t="s">
        <v>84</v>
      </c>
      <c r="AM89" s="192" t="s">
        <v>110</v>
      </c>
      <c r="AN89" s="173" t="s">
        <v>89</v>
      </c>
      <c r="AO89" s="192" t="s">
        <v>88</v>
      </c>
      <c r="AP89" s="253"/>
      <c r="AQ89" s="253"/>
      <c r="AR89" s="253"/>
      <c r="AS89" s="253"/>
      <c r="AT89" s="253">
        <v>2.2799999999999998</v>
      </c>
      <c r="AU89" s="253"/>
      <c r="AV89" s="175"/>
      <c r="AW89" s="127">
        <f t="shared" si="37"/>
        <v>2.2799999999999998</v>
      </c>
      <c r="AX89" s="177"/>
      <c r="AY89" s="177"/>
      <c r="AZ89" s="279"/>
      <c r="BA89" s="129">
        <f t="shared" si="32"/>
        <v>2.2799999999999998</v>
      </c>
      <c r="BB89" s="129">
        <f>BA89/J89</f>
        <v>7.5999999999999998E-2</v>
      </c>
      <c r="BC89" s="40">
        <v>40</v>
      </c>
      <c r="BD89" s="40">
        <v>25</v>
      </c>
      <c r="BE89" s="40">
        <v>0</v>
      </c>
      <c r="BF89" s="40">
        <v>30</v>
      </c>
      <c r="BG89" s="40">
        <v>0</v>
      </c>
      <c r="BH89" s="40">
        <v>0</v>
      </c>
      <c r="BI89" s="31">
        <f t="shared" si="33"/>
        <v>65</v>
      </c>
      <c r="BJ89" s="31">
        <f t="shared" si="34"/>
        <v>30</v>
      </c>
      <c r="BK89" s="32">
        <f t="shared" si="35"/>
        <v>0</v>
      </c>
      <c r="BL89" s="362">
        <f t="shared" si="36"/>
        <v>95</v>
      </c>
      <c r="BM89" s="367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</row>
    <row r="90" spans="1:87" ht="13.5" customHeight="1">
      <c r="A90" s="318" t="s">
        <v>296</v>
      </c>
      <c r="B90" s="95" t="s">
        <v>297</v>
      </c>
      <c r="C90" s="76" t="s">
        <v>298</v>
      </c>
      <c r="D90" s="76" t="s">
        <v>102</v>
      </c>
      <c r="E90" s="76" t="s">
        <v>488</v>
      </c>
      <c r="F90" s="173" t="s">
        <v>70</v>
      </c>
      <c r="G90" s="173" t="s">
        <v>70</v>
      </c>
      <c r="H90" s="170" t="s">
        <v>89</v>
      </c>
      <c r="I90" s="171" t="s">
        <v>90</v>
      </c>
      <c r="J90" s="229">
        <v>6</v>
      </c>
      <c r="K90" s="219">
        <v>3</v>
      </c>
      <c r="L90" s="219">
        <v>3</v>
      </c>
      <c r="M90" s="219">
        <v>0</v>
      </c>
      <c r="N90" s="172">
        <f t="shared" si="29"/>
        <v>3</v>
      </c>
      <c r="O90" s="332"/>
      <c r="P90" s="332">
        <v>3</v>
      </c>
      <c r="Q90" s="332"/>
      <c r="R90" s="332"/>
      <c r="S90" s="332"/>
      <c r="T90" s="332"/>
      <c r="U90" s="172">
        <f t="shared" si="30"/>
        <v>3</v>
      </c>
      <c r="V90" s="332"/>
      <c r="W90" s="332">
        <v>3</v>
      </c>
      <c r="X90" s="332"/>
      <c r="Y90" s="332"/>
      <c r="Z90" s="332"/>
      <c r="AA90" s="332"/>
      <c r="AB90" s="172">
        <f t="shared" si="31"/>
        <v>0</v>
      </c>
      <c r="AC90" s="43"/>
      <c r="AD90" s="43"/>
      <c r="AE90" s="43"/>
      <c r="AF90" s="43"/>
      <c r="AG90" s="43"/>
      <c r="AH90" s="43"/>
      <c r="AI90" s="345">
        <f>(L90+M90)/J90</f>
        <v>0.5</v>
      </c>
      <c r="AJ90" s="345">
        <f>AB90/J90</f>
        <v>0</v>
      </c>
      <c r="AK90" s="46" t="s">
        <v>73</v>
      </c>
      <c r="AL90" s="167" t="s">
        <v>89</v>
      </c>
      <c r="AM90" s="173" t="s">
        <v>90</v>
      </c>
      <c r="AN90" s="167" t="s">
        <v>89</v>
      </c>
      <c r="AO90" s="173" t="s">
        <v>125</v>
      </c>
      <c r="AP90" s="253"/>
      <c r="AQ90" s="253"/>
      <c r="AR90" s="174"/>
      <c r="AS90" s="271"/>
      <c r="AT90" s="253"/>
      <c r="AU90" s="271">
        <v>0.23100000000000001</v>
      </c>
      <c r="AV90" s="175"/>
      <c r="AW90" s="127">
        <f t="shared" si="37"/>
        <v>0.23100000000000001</v>
      </c>
      <c r="AX90" s="176"/>
      <c r="AY90" s="176"/>
      <c r="AZ90" s="176"/>
      <c r="BA90" s="129">
        <f t="shared" si="32"/>
        <v>0.23100000000000001</v>
      </c>
      <c r="BB90" s="129">
        <f>BA90/J90</f>
        <v>3.85E-2</v>
      </c>
      <c r="BC90" s="54">
        <v>40</v>
      </c>
      <c r="BD90" s="54">
        <v>25</v>
      </c>
      <c r="BE90" s="54">
        <v>0</v>
      </c>
      <c r="BF90" s="54">
        <v>30</v>
      </c>
      <c r="BG90" s="65">
        <v>0</v>
      </c>
      <c r="BH90" s="54">
        <v>0</v>
      </c>
      <c r="BI90" s="31">
        <f t="shared" si="33"/>
        <v>65</v>
      </c>
      <c r="BJ90" s="31">
        <f t="shared" si="34"/>
        <v>30</v>
      </c>
      <c r="BK90" s="32">
        <f t="shared" si="35"/>
        <v>0</v>
      </c>
      <c r="BL90" s="362">
        <f t="shared" si="36"/>
        <v>95</v>
      </c>
      <c r="BM90" s="366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</row>
    <row r="91" spans="1:87" ht="12.75" customHeight="1">
      <c r="A91" s="600" t="s">
        <v>522</v>
      </c>
      <c r="B91" s="601" t="s">
        <v>304</v>
      </c>
      <c r="C91" s="48" t="s">
        <v>303</v>
      </c>
      <c r="D91" s="87" t="s">
        <v>124</v>
      </c>
      <c r="E91" s="87" t="s">
        <v>489</v>
      </c>
      <c r="F91" s="602" t="s">
        <v>119</v>
      </c>
      <c r="G91" s="202" t="s">
        <v>81</v>
      </c>
      <c r="H91" s="203" t="s">
        <v>109</v>
      </c>
      <c r="I91" s="186" t="s">
        <v>115</v>
      </c>
      <c r="J91" s="238">
        <v>20</v>
      </c>
      <c r="K91" s="233">
        <v>14</v>
      </c>
      <c r="L91" s="233">
        <v>5</v>
      </c>
      <c r="M91" s="233">
        <v>1</v>
      </c>
      <c r="N91" s="172">
        <f t="shared" si="29"/>
        <v>13</v>
      </c>
      <c r="O91" s="332">
        <v>0</v>
      </c>
      <c r="P91" s="332">
        <v>6</v>
      </c>
      <c r="Q91" s="332">
        <v>6</v>
      </c>
      <c r="R91" s="332">
        <v>1</v>
      </c>
      <c r="S91" s="332">
        <v>0</v>
      </c>
      <c r="T91" s="332">
        <v>0</v>
      </c>
      <c r="U91" s="172">
        <f t="shared" si="30"/>
        <v>6</v>
      </c>
      <c r="V91" s="332">
        <v>0</v>
      </c>
      <c r="W91" s="332">
        <v>5</v>
      </c>
      <c r="X91" s="332">
        <v>1</v>
      </c>
      <c r="Y91" s="332">
        <v>0</v>
      </c>
      <c r="Z91" s="332">
        <v>0</v>
      </c>
      <c r="AA91" s="332">
        <v>0</v>
      </c>
      <c r="AB91" s="172">
        <f t="shared" si="31"/>
        <v>1</v>
      </c>
      <c r="AC91" s="423">
        <v>0</v>
      </c>
      <c r="AD91" s="423">
        <v>1</v>
      </c>
      <c r="AE91" s="423">
        <v>0</v>
      </c>
      <c r="AF91" s="423">
        <v>0</v>
      </c>
      <c r="AG91" s="423">
        <v>0</v>
      </c>
      <c r="AH91" s="423">
        <v>0</v>
      </c>
      <c r="AI91" s="345">
        <f>(U91+AB91)/J91</f>
        <v>0.35</v>
      </c>
      <c r="AJ91" s="345">
        <f>AB91/J91</f>
        <v>0.05</v>
      </c>
      <c r="AK91" s="87" t="s">
        <v>73</v>
      </c>
      <c r="AL91" s="202" t="s">
        <v>109</v>
      </c>
      <c r="AM91" s="186" t="s">
        <v>115</v>
      </c>
      <c r="AN91" s="202" t="s">
        <v>71</v>
      </c>
      <c r="AO91" s="195" t="s">
        <v>88</v>
      </c>
      <c r="AP91" s="280"/>
      <c r="AQ91" s="248">
        <v>0.68</v>
      </c>
      <c r="AR91" s="248">
        <v>0.5</v>
      </c>
      <c r="AS91" s="248"/>
      <c r="AT91" s="244"/>
      <c r="AU91" s="280"/>
      <c r="AV91" s="246"/>
      <c r="AW91" s="127">
        <f t="shared" si="37"/>
        <v>1.1800000000000002</v>
      </c>
      <c r="AX91" s="290"/>
      <c r="AY91" s="290"/>
      <c r="AZ91" s="195"/>
      <c r="BA91" s="129">
        <f t="shared" si="32"/>
        <v>1.1800000000000002</v>
      </c>
      <c r="BB91" s="129">
        <f>BA91/J91</f>
        <v>5.9000000000000011E-2</v>
      </c>
      <c r="BC91" s="54">
        <v>50</v>
      </c>
      <c r="BD91" s="54">
        <v>25</v>
      </c>
      <c r="BE91" s="54">
        <v>0</v>
      </c>
      <c r="BF91" s="54">
        <v>30</v>
      </c>
      <c r="BG91" s="54">
        <v>0</v>
      </c>
      <c r="BH91" s="54">
        <v>0</v>
      </c>
      <c r="BI91" s="31">
        <f t="shared" si="33"/>
        <v>75</v>
      </c>
      <c r="BJ91" s="31">
        <f t="shared" si="34"/>
        <v>30</v>
      </c>
      <c r="BK91" s="32">
        <f t="shared" si="35"/>
        <v>0</v>
      </c>
      <c r="BL91" s="362">
        <f t="shared" si="36"/>
        <v>105</v>
      </c>
      <c r="BM91" s="373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</row>
    <row r="92" spans="1:87" ht="12.75" customHeight="1">
      <c r="A92" s="318" t="s">
        <v>301</v>
      </c>
      <c r="B92" s="620" t="s">
        <v>302</v>
      </c>
      <c r="C92" s="76" t="s">
        <v>303</v>
      </c>
      <c r="D92" s="76" t="s">
        <v>124</v>
      </c>
      <c r="E92" s="76" t="s">
        <v>489</v>
      </c>
      <c r="F92" s="173" t="s">
        <v>81</v>
      </c>
      <c r="G92" s="173" t="s">
        <v>81</v>
      </c>
      <c r="H92" s="170" t="s">
        <v>109</v>
      </c>
      <c r="I92" s="194" t="s">
        <v>115</v>
      </c>
      <c r="J92" s="227">
        <v>36</v>
      </c>
      <c r="K92" s="219">
        <v>25</v>
      </c>
      <c r="L92" s="219">
        <v>9</v>
      </c>
      <c r="M92" s="219">
        <v>2</v>
      </c>
      <c r="N92" s="172">
        <f t="shared" si="29"/>
        <v>25</v>
      </c>
      <c r="O92" s="332">
        <v>0</v>
      </c>
      <c r="P92" s="332">
        <v>12</v>
      </c>
      <c r="Q92" s="332">
        <v>11</v>
      </c>
      <c r="R92" s="332">
        <v>2</v>
      </c>
      <c r="S92" s="332">
        <v>0</v>
      </c>
      <c r="T92" s="332">
        <v>0</v>
      </c>
      <c r="U92" s="172">
        <f t="shared" si="30"/>
        <v>9</v>
      </c>
      <c r="V92" s="332">
        <v>0</v>
      </c>
      <c r="W92" s="332">
        <v>8</v>
      </c>
      <c r="X92" s="332">
        <v>0</v>
      </c>
      <c r="Y92" s="332">
        <v>0</v>
      </c>
      <c r="Z92" s="332">
        <v>1</v>
      </c>
      <c r="AA92" s="332">
        <v>0</v>
      </c>
      <c r="AB92" s="172">
        <f t="shared" si="31"/>
        <v>2</v>
      </c>
      <c r="AC92" s="26">
        <v>0</v>
      </c>
      <c r="AD92" s="26">
        <v>1</v>
      </c>
      <c r="AE92" s="26">
        <v>1</v>
      </c>
      <c r="AF92" s="26">
        <v>0</v>
      </c>
      <c r="AG92" s="26">
        <v>0</v>
      </c>
      <c r="AH92" s="26">
        <v>0</v>
      </c>
      <c r="AI92" s="345">
        <f>(U92+AB92)/J92</f>
        <v>0.30555555555555558</v>
      </c>
      <c r="AJ92" s="345">
        <f>AB92/J92</f>
        <v>5.5555555555555552E-2</v>
      </c>
      <c r="AK92" s="46" t="s">
        <v>73</v>
      </c>
      <c r="AL92" s="169" t="s">
        <v>109</v>
      </c>
      <c r="AM92" s="169" t="s">
        <v>169</v>
      </c>
      <c r="AN92" s="169" t="s">
        <v>75</v>
      </c>
      <c r="AO92" s="169" t="s">
        <v>104</v>
      </c>
      <c r="AP92" s="272">
        <v>0.3</v>
      </c>
      <c r="AQ92" s="248">
        <v>0.5</v>
      </c>
      <c r="AR92" s="248">
        <v>0.82399999999999995</v>
      </c>
      <c r="AS92" s="248"/>
      <c r="AT92" s="272"/>
      <c r="AU92" s="272"/>
      <c r="AV92" s="272"/>
      <c r="AW92" s="127">
        <f t="shared" si="37"/>
        <v>1.6240000000000001</v>
      </c>
      <c r="AX92" s="286">
        <v>0.5</v>
      </c>
      <c r="AY92" s="298"/>
      <c r="AZ92" s="177"/>
      <c r="BA92" s="129">
        <f t="shared" si="32"/>
        <v>2.1240000000000001</v>
      </c>
      <c r="BB92" s="129">
        <f>BA92/J92</f>
        <v>5.9000000000000004E-2</v>
      </c>
      <c r="BC92" s="54">
        <v>50</v>
      </c>
      <c r="BD92" s="54">
        <v>25</v>
      </c>
      <c r="BE92" s="53">
        <v>50</v>
      </c>
      <c r="BF92" s="53">
        <v>70</v>
      </c>
      <c r="BG92" s="85">
        <v>0</v>
      </c>
      <c r="BH92" s="85">
        <v>0</v>
      </c>
      <c r="BI92" s="31">
        <f t="shared" si="33"/>
        <v>75</v>
      </c>
      <c r="BJ92" s="31">
        <f t="shared" si="34"/>
        <v>120</v>
      </c>
      <c r="BK92" s="32">
        <f t="shared" si="35"/>
        <v>0</v>
      </c>
      <c r="BL92" s="362">
        <f t="shared" si="36"/>
        <v>195</v>
      </c>
      <c r="BM92" s="372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</row>
    <row r="93" spans="1:87" ht="12.75" customHeight="1">
      <c r="A93" s="488" t="s">
        <v>117</v>
      </c>
      <c r="B93" s="608" t="s">
        <v>305</v>
      </c>
      <c r="C93" s="76" t="s">
        <v>303</v>
      </c>
      <c r="D93" s="76" t="s">
        <v>124</v>
      </c>
      <c r="E93" s="76" t="s">
        <v>489</v>
      </c>
      <c r="F93" s="173" t="s">
        <v>70</v>
      </c>
      <c r="G93" s="173" t="s">
        <v>70</v>
      </c>
      <c r="H93" s="170" t="s">
        <v>89</v>
      </c>
      <c r="I93" s="186" t="s">
        <v>104</v>
      </c>
      <c r="J93" s="234">
        <v>0</v>
      </c>
      <c r="K93" s="219">
        <v>24</v>
      </c>
      <c r="L93" s="219">
        <v>14</v>
      </c>
      <c r="M93" s="219">
        <v>2</v>
      </c>
      <c r="N93" s="172">
        <f t="shared" si="29"/>
        <v>0</v>
      </c>
      <c r="O93" s="332"/>
      <c r="P93" s="332"/>
      <c r="Q93" s="332"/>
      <c r="R93" s="332"/>
      <c r="S93" s="332"/>
      <c r="T93" s="332"/>
      <c r="U93" s="172">
        <f t="shared" si="30"/>
        <v>0</v>
      </c>
      <c r="V93" s="332"/>
      <c r="W93" s="332"/>
      <c r="X93" s="332"/>
      <c r="Y93" s="332"/>
      <c r="Z93" s="332"/>
      <c r="AA93" s="332"/>
      <c r="AB93" s="172">
        <f t="shared" si="31"/>
        <v>0</v>
      </c>
      <c r="AC93" s="26"/>
      <c r="AD93" s="26"/>
      <c r="AE93" s="26"/>
      <c r="AF93" s="26"/>
      <c r="AG93" s="26"/>
      <c r="AH93" s="26"/>
      <c r="AI93" s="345">
        <v>0</v>
      </c>
      <c r="AJ93" s="345">
        <v>0</v>
      </c>
      <c r="AK93" s="34" t="s">
        <v>73</v>
      </c>
      <c r="AL93" s="169" t="s">
        <v>89</v>
      </c>
      <c r="AM93" s="186" t="s">
        <v>104</v>
      </c>
      <c r="AN93" s="169" t="s">
        <v>133</v>
      </c>
      <c r="AO93" s="186" t="s">
        <v>97</v>
      </c>
      <c r="AP93" s="174"/>
      <c r="AQ93" s="174"/>
      <c r="AR93" s="174"/>
      <c r="AS93" s="259"/>
      <c r="AT93" s="252"/>
      <c r="AU93" s="174">
        <v>2.5</v>
      </c>
      <c r="AV93" s="497">
        <v>0.62</v>
      </c>
      <c r="AW93" s="127">
        <f t="shared" si="37"/>
        <v>3.12</v>
      </c>
      <c r="AX93" s="289"/>
      <c r="AY93" s="176"/>
      <c r="AZ93" s="176"/>
      <c r="BA93" s="129">
        <f t="shared" si="32"/>
        <v>3.12</v>
      </c>
      <c r="BB93" s="129">
        <f>BA93/40</f>
        <v>7.8E-2</v>
      </c>
      <c r="BC93" s="54">
        <v>50</v>
      </c>
      <c r="BD93" s="54">
        <v>25</v>
      </c>
      <c r="BE93" s="54">
        <v>0</v>
      </c>
      <c r="BF93" s="54">
        <v>30</v>
      </c>
      <c r="BG93" s="53">
        <v>0</v>
      </c>
      <c r="BH93" s="53">
        <v>0</v>
      </c>
      <c r="BI93" s="31">
        <f t="shared" si="33"/>
        <v>75</v>
      </c>
      <c r="BJ93" s="31">
        <f t="shared" si="34"/>
        <v>30</v>
      </c>
      <c r="BK93" s="32">
        <f t="shared" si="35"/>
        <v>0</v>
      </c>
      <c r="BL93" s="361">
        <f t="shared" si="36"/>
        <v>105</v>
      </c>
      <c r="BM93" s="465" t="s">
        <v>498</v>
      </c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</row>
    <row r="94" spans="1:87" ht="12.75" customHeight="1">
      <c r="A94" s="318" t="s">
        <v>306</v>
      </c>
      <c r="B94" s="624" t="s">
        <v>307</v>
      </c>
      <c r="C94" s="76" t="s">
        <v>308</v>
      </c>
      <c r="D94" s="76" t="s">
        <v>112</v>
      </c>
      <c r="E94" s="76" t="s">
        <v>488</v>
      </c>
      <c r="F94" s="173" t="s">
        <v>81</v>
      </c>
      <c r="G94" s="173" t="s">
        <v>81</v>
      </c>
      <c r="H94" s="189" t="s">
        <v>84</v>
      </c>
      <c r="I94" s="171" t="s">
        <v>169</v>
      </c>
      <c r="J94" s="220">
        <v>30</v>
      </c>
      <c r="K94" s="219">
        <v>21</v>
      </c>
      <c r="L94" s="219">
        <v>7</v>
      </c>
      <c r="M94" s="219">
        <v>2</v>
      </c>
      <c r="N94" s="172">
        <f t="shared" si="29"/>
        <v>21</v>
      </c>
      <c r="O94" s="332">
        <v>0</v>
      </c>
      <c r="P94" s="332">
        <v>10</v>
      </c>
      <c r="Q94" s="332">
        <v>9</v>
      </c>
      <c r="R94" s="332">
        <v>2</v>
      </c>
      <c r="S94" s="332">
        <v>0</v>
      </c>
      <c r="T94" s="332">
        <v>0</v>
      </c>
      <c r="U94" s="172">
        <f t="shared" si="30"/>
        <v>5</v>
      </c>
      <c r="V94" s="332">
        <v>0</v>
      </c>
      <c r="W94" s="332">
        <v>5</v>
      </c>
      <c r="X94" s="332">
        <v>0</v>
      </c>
      <c r="Y94" s="332">
        <v>0</v>
      </c>
      <c r="Z94" s="332">
        <v>0</v>
      </c>
      <c r="AA94" s="332">
        <v>0</v>
      </c>
      <c r="AB94" s="172">
        <f t="shared" si="31"/>
        <v>4</v>
      </c>
      <c r="AC94" s="26">
        <v>0</v>
      </c>
      <c r="AD94" s="26">
        <v>2</v>
      </c>
      <c r="AE94" s="26">
        <v>2</v>
      </c>
      <c r="AF94" s="26">
        <v>0</v>
      </c>
      <c r="AG94" s="26">
        <v>0</v>
      </c>
      <c r="AH94" s="26">
        <v>0</v>
      </c>
      <c r="AI94" s="345">
        <f>(U94+AB94)/J94</f>
        <v>0.3</v>
      </c>
      <c r="AJ94" s="345">
        <f>AB94/J94</f>
        <v>0.13333333333333333</v>
      </c>
      <c r="AK94" s="46" t="s">
        <v>73</v>
      </c>
      <c r="AL94" s="173" t="s">
        <v>84</v>
      </c>
      <c r="AM94" s="173" t="s">
        <v>169</v>
      </c>
      <c r="AN94" s="173" t="s">
        <v>89</v>
      </c>
      <c r="AO94" s="173" t="s">
        <v>115</v>
      </c>
      <c r="AP94" s="248"/>
      <c r="AQ94" s="248"/>
      <c r="AR94" s="248" t="s">
        <v>309</v>
      </c>
      <c r="AS94" s="248"/>
      <c r="AT94" s="248">
        <v>0.77</v>
      </c>
      <c r="AU94" s="248">
        <v>1</v>
      </c>
      <c r="AV94" s="248"/>
      <c r="AW94" s="127">
        <f>SUM(AP94:AV94)</f>
        <v>1.77</v>
      </c>
      <c r="AX94" s="286"/>
      <c r="AY94" s="286"/>
      <c r="AZ94" s="176"/>
      <c r="BA94" s="129">
        <f t="shared" si="32"/>
        <v>1.77</v>
      </c>
      <c r="BB94" s="129">
        <f>BA94/J94</f>
        <v>5.9000000000000004E-2</v>
      </c>
      <c r="BC94" s="40">
        <v>40</v>
      </c>
      <c r="BD94" s="54">
        <v>0</v>
      </c>
      <c r="BE94" s="54">
        <v>0</v>
      </c>
      <c r="BF94" s="54">
        <v>10</v>
      </c>
      <c r="BG94" s="54">
        <v>0</v>
      </c>
      <c r="BH94" s="54">
        <v>0</v>
      </c>
      <c r="BI94" s="31">
        <f t="shared" si="33"/>
        <v>40</v>
      </c>
      <c r="BJ94" s="31">
        <f t="shared" si="34"/>
        <v>10</v>
      </c>
      <c r="BK94" s="32">
        <f t="shared" si="35"/>
        <v>0</v>
      </c>
      <c r="BL94" s="362">
        <f t="shared" si="36"/>
        <v>50</v>
      </c>
      <c r="BM94" s="366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</row>
    <row r="95" spans="1:87" ht="13.5" customHeight="1">
      <c r="A95" s="324" t="s">
        <v>312</v>
      </c>
      <c r="B95" s="626" t="s">
        <v>313</v>
      </c>
      <c r="C95" s="45" t="s">
        <v>308</v>
      </c>
      <c r="D95" s="58" t="s">
        <v>112</v>
      </c>
      <c r="E95" s="76" t="s">
        <v>488</v>
      </c>
      <c r="F95" s="173" t="s">
        <v>81</v>
      </c>
      <c r="G95" s="173" t="s">
        <v>81</v>
      </c>
      <c r="H95" s="189" t="s">
        <v>75</v>
      </c>
      <c r="I95" s="186" t="s">
        <v>169</v>
      </c>
      <c r="J95" s="221">
        <v>30</v>
      </c>
      <c r="K95" s="225">
        <v>21</v>
      </c>
      <c r="L95" s="225">
        <v>7</v>
      </c>
      <c r="M95" s="225">
        <v>2</v>
      </c>
      <c r="N95" s="172">
        <f t="shared" si="29"/>
        <v>21</v>
      </c>
      <c r="O95" s="178">
        <v>0</v>
      </c>
      <c r="P95" s="178">
        <v>10</v>
      </c>
      <c r="Q95" s="178">
        <v>9</v>
      </c>
      <c r="R95" s="178">
        <v>2</v>
      </c>
      <c r="S95" s="178">
        <v>0</v>
      </c>
      <c r="T95" s="178">
        <v>0</v>
      </c>
      <c r="U95" s="172">
        <f t="shared" si="30"/>
        <v>7</v>
      </c>
      <c r="V95" s="178">
        <v>0</v>
      </c>
      <c r="W95" s="178">
        <v>7</v>
      </c>
      <c r="X95" s="178">
        <v>0</v>
      </c>
      <c r="Y95" s="178">
        <v>0</v>
      </c>
      <c r="Z95" s="178">
        <v>0</v>
      </c>
      <c r="AA95" s="178">
        <v>0</v>
      </c>
      <c r="AB95" s="172">
        <f t="shared" si="31"/>
        <v>2</v>
      </c>
      <c r="AC95" s="54">
        <v>0</v>
      </c>
      <c r="AD95" s="54">
        <v>2</v>
      </c>
      <c r="AE95" s="54">
        <v>0</v>
      </c>
      <c r="AF95" s="54">
        <v>0</v>
      </c>
      <c r="AG95" s="54">
        <v>0</v>
      </c>
      <c r="AH95" s="54">
        <v>0</v>
      </c>
      <c r="AI95" s="345">
        <f>(U95+AB95)/J95</f>
        <v>0.3</v>
      </c>
      <c r="AJ95" s="345">
        <f>AB95/J95</f>
        <v>6.6666666666666666E-2</v>
      </c>
      <c r="AK95" s="46" t="s">
        <v>73</v>
      </c>
      <c r="AL95" s="173" t="s">
        <v>75</v>
      </c>
      <c r="AM95" s="186" t="s">
        <v>169</v>
      </c>
      <c r="AN95" s="173" t="s">
        <v>84</v>
      </c>
      <c r="AO95" s="190" t="s">
        <v>115</v>
      </c>
      <c r="AP95" s="248"/>
      <c r="AQ95" s="248"/>
      <c r="AR95" s="248"/>
      <c r="AS95" s="248">
        <v>0.77</v>
      </c>
      <c r="AT95" s="248">
        <v>0.95698499999999997</v>
      </c>
      <c r="AU95" s="248"/>
      <c r="AV95" s="248"/>
      <c r="AW95" s="127">
        <f t="shared" ref="AW95:AW96" si="40">SUM(AP95:AV95)</f>
        <v>1.726985</v>
      </c>
      <c r="AX95" s="286"/>
      <c r="AY95" s="286">
        <v>4.2999999999999997E-2</v>
      </c>
      <c r="AZ95" s="176"/>
      <c r="BA95" s="129">
        <f t="shared" si="32"/>
        <v>1.7699849999999999</v>
      </c>
      <c r="BB95" s="129">
        <f>BA95/J95</f>
        <v>5.8999499999999996E-2</v>
      </c>
      <c r="BC95" s="40">
        <v>40</v>
      </c>
      <c r="BD95" s="54">
        <v>0</v>
      </c>
      <c r="BE95" s="54">
        <v>0</v>
      </c>
      <c r="BF95" s="54">
        <v>10</v>
      </c>
      <c r="BG95" s="54">
        <v>0</v>
      </c>
      <c r="BH95" s="54">
        <v>0</v>
      </c>
      <c r="BI95" s="31">
        <f t="shared" si="33"/>
        <v>40</v>
      </c>
      <c r="BJ95" s="31">
        <f t="shared" si="34"/>
        <v>10</v>
      </c>
      <c r="BK95" s="32">
        <f t="shared" si="35"/>
        <v>0</v>
      </c>
      <c r="BL95" s="362">
        <f t="shared" si="36"/>
        <v>50</v>
      </c>
      <c r="BM95" s="366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</row>
    <row r="96" spans="1:87" ht="12.75" customHeight="1">
      <c r="A96" s="318" t="s">
        <v>310</v>
      </c>
      <c r="B96" s="624" t="s">
        <v>311</v>
      </c>
      <c r="C96" s="76" t="s">
        <v>308</v>
      </c>
      <c r="D96" s="76" t="s">
        <v>112</v>
      </c>
      <c r="E96" s="76" t="s">
        <v>488</v>
      </c>
      <c r="F96" s="173" t="s">
        <v>81</v>
      </c>
      <c r="G96" s="173" t="s">
        <v>81</v>
      </c>
      <c r="H96" s="189" t="s">
        <v>89</v>
      </c>
      <c r="I96" s="171" t="s">
        <v>169</v>
      </c>
      <c r="J96" s="220">
        <v>0</v>
      </c>
      <c r="K96" s="219">
        <v>18</v>
      </c>
      <c r="L96" s="219">
        <v>6</v>
      </c>
      <c r="M96" s="219">
        <v>1</v>
      </c>
      <c r="N96" s="172">
        <f t="shared" si="29"/>
        <v>0</v>
      </c>
      <c r="O96" s="332"/>
      <c r="P96" s="332"/>
      <c r="Q96" s="332"/>
      <c r="R96" s="332"/>
      <c r="S96" s="332"/>
      <c r="T96" s="332"/>
      <c r="U96" s="172">
        <f t="shared" si="30"/>
        <v>0</v>
      </c>
      <c r="V96" s="332"/>
      <c r="W96" s="332"/>
      <c r="X96" s="332"/>
      <c r="Y96" s="332"/>
      <c r="Z96" s="332"/>
      <c r="AA96" s="332"/>
      <c r="AB96" s="172">
        <f t="shared" si="31"/>
        <v>0</v>
      </c>
      <c r="AC96" s="43"/>
      <c r="AD96" s="43"/>
      <c r="AE96" s="43"/>
      <c r="AF96" s="43"/>
      <c r="AG96" s="43"/>
      <c r="AH96" s="43"/>
      <c r="AI96" s="345">
        <v>0</v>
      </c>
      <c r="AJ96" s="345">
        <v>0</v>
      </c>
      <c r="AK96" s="46" t="s">
        <v>73</v>
      </c>
      <c r="AL96" s="173" t="s">
        <v>89</v>
      </c>
      <c r="AM96" s="173" t="s">
        <v>169</v>
      </c>
      <c r="AN96" s="173" t="s">
        <v>133</v>
      </c>
      <c r="AO96" s="173" t="s">
        <v>115</v>
      </c>
      <c r="AP96" s="482"/>
      <c r="AQ96" s="248" t="s">
        <v>309</v>
      </c>
      <c r="AR96" s="248"/>
      <c r="AS96" s="248"/>
      <c r="AT96" s="248"/>
      <c r="AU96" s="496">
        <v>0.7</v>
      </c>
      <c r="AV96" s="496">
        <v>0.77500000000000002</v>
      </c>
      <c r="AW96" s="127">
        <f t="shared" si="40"/>
        <v>1.4750000000000001</v>
      </c>
      <c r="AX96" s="286"/>
      <c r="AY96" s="286"/>
      <c r="AZ96" s="176"/>
      <c r="BA96" s="129">
        <f t="shared" ref="BA96:BA128" si="41">AW96+AX96+AY96</f>
        <v>1.4750000000000001</v>
      </c>
      <c r="BB96" s="129">
        <f>BA96/25</f>
        <v>5.9000000000000004E-2</v>
      </c>
      <c r="BC96" s="40">
        <v>40</v>
      </c>
      <c r="BD96" s="54">
        <v>0</v>
      </c>
      <c r="BE96" s="54">
        <v>0</v>
      </c>
      <c r="BF96" s="445">
        <v>10</v>
      </c>
      <c r="BG96" s="54">
        <v>0</v>
      </c>
      <c r="BH96" s="54">
        <v>0</v>
      </c>
      <c r="BI96" s="31">
        <f t="shared" si="33"/>
        <v>40</v>
      </c>
      <c r="BJ96" s="31">
        <f t="shared" si="34"/>
        <v>10</v>
      </c>
      <c r="BK96" s="32">
        <f t="shared" si="35"/>
        <v>0</v>
      </c>
      <c r="BL96" s="362">
        <f t="shared" si="36"/>
        <v>50</v>
      </c>
      <c r="BM96" s="368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</row>
    <row r="97" spans="1:87" ht="13.5" customHeight="1">
      <c r="A97" s="320" t="s">
        <v>314</v>
      </c>
      <c r="B97" s="304" t="s">
        <v>315</v>
      </c>
      <c r="C97" s="42" t="s">
        <v>316</v>
      </c>
      <c r="D97" s="76" t="s">
        <v>69</v>
      </c>
      <c r="E97" s="76" t="s">
        <v>488</v>
      </c>
      <c r="F97" s="173" t="s">
        <v>70</v>
      </c>
      <c r="G97" s="173" t="s">
        <v>70</v>
      </c>
      <c r="H97" s="189" t="s">
        <v>84</v>
      </c>
      <c r="I97" s="192" t="s">
        <v>97</v>
      </c>
      <c r="J97" s="229">
        <v>30</v>
      </c>
      <c r="K97" s="219">
        <v>16</v>
      </c>
      <c r="L97" s="219">
        <v>13</v>
      </c>
      <c r="M97" s="219">
        <v>1</v>
      </c>
      <c r="N97" s="172">
        <f t="shared" si="29"/>
        <v>17</v>
      </c>
      <c r="O97" s="332"/>
      <c r="P97" s="332">
        <v>16</v>
      </c>
      <c r="Q97" s="332">
        <v>1</v>
      </c>
      <c r="R97" s="332"/>
      <c r="S97" s="332"/>
      <c r="T97" s="332"/>
      <c r="U97" s="172">
        <f t="shared" si="30"/>
        <v>11</v>
      </c>
      <c r="V97" s="332"/>
      <c r="W97" s="332">
        <v>10</v>
      </c>
      <c r="X97" s="332">
        <v>1</v>
      </c>
      <c r="Y97" s="332"/>
      <c r="Z97" s="332"/>
      <c r="AA97" s="332"/>
      <c r="AB97" s="172">
        <f t="shared" si="31"/>
        <v>2</v>
      </c>
      <c r="AC97" s="43"/>
      <c r="AD97" s="43">
        <v>1</v>
      </c>
      <c r="AE97" s="43">
        <v>1</v>
      </c>
      <c r="AF97" s="43"/>
      <c r="AG97" s="43"/>
      <c r="AH97" s="43"/>
      <c r="AI97" s="345">
        <f>(L97+M97)/J97</f>
        <v>0.46666666666666667</v>
      </c>
      <c r="AJ97" s="345">
        <f t="shared" ref="AJ97:AJ134" si="42">AB97/J97</f>
        <v>6.6666666666666666E-2</v>
      </c>
      <c r="AK97" s="46" t="s">
        <v>73</v>
      </c>
      <c r="AL97" s="173" t="s">
        <v>84</v>
      </c>
      <c r="AM97" s="192" t="s">
        <v>97</v>
      </c>
      <c r="AN97" s="173" t="s">
        <v>89</v>
      </c>
      <c r="AO97" s="192" t="s">
        <v>97</v>
      </c>
      <c r="AP97" s="483"/>
      <c r="AQ97" s="478"/>
      <c r="AR97" s="253"/>
      <c r="AS97" s="253"/>
      <c r="AT97" s="268">
        <v>0.28000000000000003</v>
      </c>
      <c r="AU97" s="268">
        <v>2</v>
      </c>
      <c r="AV97" s="175"/>
      <c r="AW97" s="127">
        <f>SUM(AP97:AV97)</f>
        <v>2.2800000000000002</v>
      </c>
      <c r="AX97" s="177"/>
      <c r="AY97" s="177"/>
      <c r="AZ97" s="279"/>
      <c r="BA97" s="129">
        <f t="shared" si="41"/>
        <v>2.2800000000000002</v>
      </c>
      <c r="BB97" s="129">
        <f t="shared" ref="BB97:BB139" si="43">BA97/J97</f>
        <v>7.6000000000000012E-2</v>
      </c>
      <c r="BC97" s="40">
        <v>40</v>
      </c>
      <c r="BD97" s="40">
        <v>45</v>
      </c>
      <c r="BE97" s="40">
        <v>0</v>
      </c>
      <c r="BF97" s="40">
        <v>10</v>
      </c>
      <c r="BG97" s="40">
        <v>0</v>
      </c>
      <c r="BH97" s="40">
        <v>0</v>
      </c>
      <c r="BI97" s="31">
        <f t="shared" si="33"/>
        <v>85</v>
      </c>
      <c r="BJ97" s="31">
        <f t="shared" si="34"/>
        <v>10</v>
      </c>
      <c r="BK97" s="32">
        <f t="shared" si="35"/>
        <v>0</v>
      </c>
      <c r="BL97" s="362">
        <f t="shared" si="36"/>
        <v>95</v>
      </c>
      <c r="BM97" s="367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</row>
    <row r="98" spans="1:87" ht="13.5" customHeight="1">
      <c r="A98" s="320" t="s">
        <v>317</v>
      </c>
      <c r="B98" s="627" t="s">
        <v>106</v>
      </c>
      <c r="C98" s="42" t="s">
        <v>316</v>
      </c>
      <c r="D98" s="71" t="s">
        <v>69</v>
      </c>
      <c r="E98" s="76" t="s">
        <v>488</v>
      </c>
      <c r="F98" s="173" t="s">
        <v>119</v>
      </c>
      <c r="G98" s="173" t="s">
        <v>81</v>
      </c>
      <c r="H98" s="170" t="s">
        <v>114</v>
      </c>
      <c r="I98" s="204" t="s">
        <v>90</v>
      </c>
      <c r="J98" s="217">
        <v>18</v>
      </c>
      <c r="K98" s="219">
        <v>14</v>
      </c>
      <c r="L98" s="219">
        <v>4</v>
      </c>
      <c r="M98" s="219">
        <f>AC98+AD98+AE98+AF98+AG98+AH98</f>
        <v>0</v>
      </c>
      <c r="N98" s="172">
        <f t="shared" si="29"/>
        <v>14</v>
      </c>
      <c r="O98" s="332">
        <v>0</v>
      </c>
      <c r="P98" s="332">
        <v>5</v>
      </c>
      <c r="Q98" s="332">
        <v>9</v>
      </c>
      <c r="R98" s="332">
        <v>0</v>
      </c>
      <c r="S98" s="332">
        <v>0</v>
      </c>
      <c r="T98" s="332">
        <v>0</v>
      </c>
      <c r="U98" s="172">
        <f t="shared" si="30"/>
        <v>4</v>
      </c>
      <c r="V98" s="332">
        <v>0</v>
      </c>
      <c r="W98" s="332">
        <v>4</v>
      </c>
      <c r="X98" s="332">
        <v>0</v>
      </c>
      <c r="Y98" s="332">
        <v>0</v>
      </c>
      <c r="Z98" s="332">
        <v>0</v>
      </c>
      <c r="AA98" s="332">
        <v>0</v>
      </c>
      <c r="AB98" s="172">
        <f t="shared" si="31"/>
        <v>0</v>
      </c>
      <c r="AC98" s="43">
        <v>0</v>
      </c>
      <c r="AD98" s="43">
        <v>0</v>
      </c>
      <c r="AE98" s="43">
        <v>0</v>
      </c>
      <c r="AF98" s="43">
        <v>0</v>
      </c>
      <c r="AG98" s="43">
        <v>0</v>
      </c>
      <c r="AH98" s="43">
        <v>0</v>
      </c>
      <c r="AI98" s="345">
        <f>(L98+M98)/J98</f>
        <v>0.22222222222222221</v>
      </c>
      <c r="AJ98" s="345">
        <f t="shared" si="42"/>
        <v>0</v>
      </c>
      <c r="AK98" s="42" t="s">
        <v>83</v>
      </c>
      <c r="AL98" s="173" t="s">
        <v>114</v>
      </c>
      <c r="AM98" s="193" t="s">
        <v>88</v>
      </c>
      <c r="AN98" s="169" t="s">
        <v>109</v>
      </c>
      <c r="AO98" s="193" t="s">
        <v>97</v>
      </c>
      <c r="AP98" s="484">
        <v>1.0620000000000001</v>
      </c>
      <c r="AQ98" s="479">
        <v>0</v>
      </c>
      <c r="AR98" s="248"/>
      <c r="AS98" s="248"/>
      <c r="AT98" s="248"/>
      <c r="AU98" s="248"/>
      <c r="AV98" s="248"/>
      <c r="AW98" s="127">
        <f t="shared" ref="AW98:AW135" si="44">SUM(AP98:AV98)</f>
        <v>1.0620000000000001</v>
      </c>
      <c r="AX98" s="286"/>
      <c r="AY98" s="286"/>
      <c r="AZ98" s="279"/>
      <c r="BA98" s="129">
        <f t="shared" si="41"/>
        <v>1.0620000000000001</v>
      </c>
      <c r="BB98" s="129">
        <f t="shared" si="43"/>
        <v>5.9000000000000004E-2</v>
      </c>
      <c r="BC98" s="40">
        <v>40</v>
      </c>
      <c r="BD98" s="54">
        <v>45</v>
      </c>
      <c r="BE98" s="40">
        <v>80</v>
      </c>
      <c r="BF98" s="40">
        <v>70</v>
      </c>
      <c r="BG98" s="40">
        <v>0</v>
      </c>
      <c r="BH98" s="40">
        <v>0</v>
      </c>
      <c r="BI98" s="31">
        <f t="shared" si="33"/>
        <v>85</v>
      </c>
      <c r="BJ98" s="31">
        <f t="shared" si="34"/>
        <v>150</v>
      </c>
      <c r="BK98" s="32">
        <f t="shared" si="35"/>
        <v>0</v>
      </c>
      <c r="BL98" s="362">
        <f t="shared" si="36"/>
        <v>235</v>
      </c>
      <c r="BM98" s="369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</row>
    <row r="99" spans="1:87" ht="13.5" customHeight="1">
      <c r="A99" s="318" t="s">
        <v>330</v>
      </c>
      <c r="B99" s="612" t="s">
        <v>331</v>
      </c>
      <c r="C99" s="76" t="s">
        <v>130</v>
      </c>
      <c r="D99" s="76" t="s">
        <v>130</v>
      </c>
      <c r="E99" s="48" t="s">
        <v>489</v>
      </c>
      <c r="F99" s="173" t="s">
        <v>81</v>
      </c>
      <c r="G99" s="173" t="s">
        <v>81</v>
      </c>
      <c r="H99" s="170" t="s">
        <v>114</v>
      </c>
      <c r="I99" s="194" t="s">
        <v>169</v>
      </c>
      <c r="J99" s="220">
        <v>39</v>
      </c>
      <c r="K99" s="219">
        <v>37</v>
      </c>
      <c r="L99" s="219">
        <v>2</v>
      </c>
      <c r="M99" s="219">
        <v>0</v>
      </c>
      <c r="N99" s="172">
        <f t="shared" si="29"/>
        <v>37</v>
      </c>
      <c r="O99" s="332">
        <v>0</v>
      </c>
      <c r="P99" s="332">
        <v>37</v>
      </c>
      <c r="Q99" s="332">
        <v>0</v>
      </c>
      <c r="R99" s="332">
        <v>0</v>
      </c>
      <c r="S99" s="332">
        <v>0</v>
      </c>
      <c r="T99" s="332">
        <v>0</v>
      </c>
      <c r="U99" s="172">
        <f t="shared" si="30"/>
        <v>2</v>
      </c>
      <c r="V99" s="332">
        <v>0</v>
      </c>
      <c r="W99" s="332">
        <v>2</v>
      </c>
      <c r="X99" s="332">
        <v>0</v>
      </c>
      <c r="Y99" s="332">
        <v>0</v>
      </c>
      <c r="Z99" s="332">
        <v>0</v>
      </c>
      <c r="AA99" s="332">
        <v>0</v>
      </c>
      <c r="AB99" s="172">
        <f t="shared" si="31"/>
        <v>0</v>
      </c>
      <c r="AC99" s="43">
        <v>0</v>
      </c>
      <c r="AD99" s="43">
        <v>0</v>
      </c>
      <c r="AE99" s="43">
        <v>0</v>
      </c>
      <c r="AF99" s="43">
        <v>0</v>
      </c>
      <c r="AG99" s="43">
        <v>0</v>
      </c>
      <c r="AH99" s="43">
        <v>0</v>
      </c>
      <c r="AI99" s="345">
        <f>(U99+AB99)/J99</f>
        <v>5.128205128205128E-2</v>
      </c>
      <c r="AJ99" s="345">
        <f t="shared" si="42"/>
        <v>0</v>
      </c>
      <c r="AK99" s="46" t="s">
        <v>73</v>
      </c>
      <c r="AL99" s="169" t="s">
        <v>114</v>
      </c>
      <c r="AM99" s="169" t="s">
        <v>96</v>
      </c>
      <c r="AN99" s="169" t="s">
        <v>71</v>
      </c>
      <c r="AO99" s="169" t="s">
        <v>85</v>
      </c>
      <c r="AP99" s="484">
        <v>0.8</v>
      </c>
      <c r="AQ99" s="480">
        <v>1.5009999999999999</v>
      </c>
      <c r="AR99" s="272"/>
      <c r="AS99" s="272"/>
      <c r="AT99" s="272"/>
      <c r="AU99" s="272"/>
      <c r="AV99" s="272"/>
      <c r="AW99" s="127">
        <f t="shared" si="44"/>
        <v>2.3010000000000002</v>
      </c>
      <c r="AX99" s="298"/>
      <c r="AY99" s="298"/>
      <c r="AZ99" s="176"/>
      <c r="BA99" s="129">
        <f t="shared" si="41"/>
        <v>2.3010000000000002</v>
      </c>
      <c r="BB99" s="129">
        <f t="shared" si="43"/>
        <v>5.9000000000000004E-2</v>
      </c>
      <c r="BC99" s="54">
        <v>50</v>
      </c>
      <c r="BD99" s="54">
        <v>45</v>
      </c>
      <c r="BE99" s="54">
        <v>50</v>
      </c>
      <c r="BF99" s="54">
        <v>70</v>
      </c>
      <c r="BG99" s="54">
        <v>10</v>
      </c>
      <c r="BH99" s="54">
        <v>20</v>
      </c>
      <c r="BI99" s="85">
        <f t="shared" si="33"/>
        <v>95</v>
      </c>
      <c r="BJ99" s="85">
        <f t="shared" si="34"/>
        <v>120</v>
      </c>
      <c r="BK99" s="32">
        <f t="shared" si="35"/>
        <v>30</v>
      </c>
      <c r="BL99" s="362">
        <f t="shared" si="36"/>
        <v>245</v>
      </c>
      <c r="BM99" s="366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</row>
    <row r="100" spans="1:87" ht="13.5" customHeight="1">
      <c r="A100" s="318" t="s">
        <v>318</v>
      </c>
      <c r="B100" s="313" t="s">
        <v>319</v>
      </c>
      <c r="C100" s="78" t="s">
        <v>130</v>
      </c>
      <c r="D100" s="55" t="s">
        <v>130</v>
      </c>
      <c r="E100" s="48" t="s">
        <v>489</v>
      </c>
      <c r="F100" s="173" t="s">
        <v>164</v>
      </c>
      <c r="G100" s="173" t="s">
        <v>164</v>
      </c>
      <c r="H100" s="189" t="s">
        <v>114</v>
      </c>
      <c r="I100" s="208" t="s">
        <v>82</v>
      </c>
      <c r="J100" s="215">
        <v>49</v>
      </c>
      <c r="K100" s="417">
        <v>14</v>
      </c>
      <c r="L100" s="417">
        <v>5</v>
      </c>
      <c r="M100" s="417">
        <v>1</v>
      </c>
      <c r="N100" s="172">
        <f t="shared" si="29"/>
        <v>35</v>
      </c>
      <c r="O100" s="420"/>
      <c r="P100" s="420">
        <v>16</v>
      </c>
      <c r="Q100" s="420">
        <v>16</v>
      </c>
      <c r="R100" s="420">
        <v>3</v>
      </c>
      <c r="S100" s="420"/>
      <c r="T100" s="420"/>
      <c r="U100" s="172">
        <f t="shared" si="30"/>
        <v>12</v>
      </c>
      <c r="V100" s="420"/>
      <c r="W100" s="420">
        <v>11</v>
      </c>
      <c r="X100" s="420"/>
      <c r="Y100" s="420"/>
      <c r="Z100" s="420">
        <v>1</v>
      </c>
      <c r="AA100" s="420"/>
      <c r="AB100" s="172">
        <f t="shared" si="31"/>
        <v>2</v>
      </c>
      <c r="AC100" s="26"/>
      <c r="AD100" s="26">
        <v>2</v>
      </c>
      <c r="AE100" s="26"/>
      <c r="AF100" s="26"/>
      <c r="AG100" s="26"/>
      <c r="AH100" s="26"/>
      <c r="AI100" s="345">
        <f>(U100+AB100)/J100</f>
        <v>0.2857142857142857</v>
      </c>
      <c r="AJ100" s="345">
        <f t="shared" si="42"/>
        <v>4.0816326530612242E-2</v>
      </c>
      <c r="AK100" s="46" t="s">
        <v>73</v>
      </c>
      <c r="AL100" s="169" t="s">
        <v>109</v>
      </c>
      <c r="AM100" s="243" t="s">
        <v>104</v>
      </c>
      <c r="AN100" s="169" t="s">
        <v>71</v>
      </c>
      <c r="AO100" s="243" t="s">
        <v>96</v>
      </c>
      <c r="AP100" s="485">
        <v>0.3</v>
      </c>
      <c r="AQ100" s="481">
        <v>2</v>
      </c>
      <c r="AR100" s="357">
        <v>1.63</v>
      </c>
      <c r="AS100" s="259"/>
      <c r="AT100" s="259"/>
      <c r="AU100" s="259"/>
      <c r="AV100" s="246"/>
      <c r="AW100" s="127">
        <f t="shared" si="44"/>
        <v>3.9299999999999997</v>
      </c>
      <c r="AX100" s="289"/>
      <c r="AY100" s="289"/>
      <c r="AZ100" s="292"/>
      <c r="BA100" s="129">
        <f t="shared" si="41"/>
        <v>3.9299999999999997</v>
      </c>
      <c r="BB100" s="129">
        <f t="shared" si="43"/>
        <v>8.0204081632653051E-2</v>
      </c>
      <c r="BC100" s="54">
        <v>50</v>
      </c>
      <c r="BD100" s="54">
        <v>45</v>
      </c>
      <c r="BE100" s="54">
        <v>50</v>
      </c>
      <c r="BF100" s="54">
        <v>30</v>
      </c>
      <c r="BG100" s="54">
        <v>0</v>
      </c>
      <c r="BH100" s="54">
        <v>0</v>
      </c>
      <c r="BI100" s="31">
        <f t="shared" si="33"/>
        <v>95</v>
      </c>
      <c r="BJ100" s="31">
        <f t="shared" si="34"/>
        <v>80</v>
      </c>
      <c r="BK100" s="32">
        <f t="shared" si="35"/>
        <v>0</v>
      </c>
      <c r="BL100" s="362">
        <f t="shared" si="36"/>
        <v>175</v>
      </c>
      <c r="BM100" s="365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</row>
    <row r="101" spans="1:87" ht="13.5" customHeight="1">
      <c r="A101" s="318" t="s">
        <v>320</v>
      </c>
      <c r="B101" s="311" t="s">
        <v>321</v>
      </c>
      <c r="C101" s="78" t="s">
        <v>130</v>
      </c>
      <c r="D101" s="58" t="s">
        <v>130</v>
      </c>
      <c r="E101" s="48" t="s">
        <v>489</v>
      </c>
      <c r="F101" s="173" t="s">
        <v>135</v>
      </c>
      <c r="G101" s="173" t="s">
        <v>135</v>
      </c>
      <c r="H101" s="189" t="s">
        <v>103</v>
      </c>
      <c r="I101" s="190" t="s">
        <v>115</v>
      </c>
      <c r="J101" s="414">
        <v>20</v>
      </c>
      <c r="K101" s="235">
        <v>20</v>
      </c>
      <c r="L101" s="228">
        <v>0</v>
      </c>
      <c r="M101" s="216">
        <v>0</v>
      </c>
      <c r="N101" s="337">
        <f t="shared" ref="N101:N118" si="45">SUM(O101:T101)</f>
        <v>20</v>
      </c>
      <c r="O101" s="331"/>
      <c r="P101" s="335">
        <v>18</v>
      </c>
      <c r="Q101" s="331"/>
      <c r="R101" s="335">
        <v>2</v>
      </c>
      <c r="S101" s="331"/>
      <c r="T101" s="331"/>
      <c r="U101" s="337">
        <f t="shared" ref="U101:U122" si="46">SUM(V101:AA101)</f>
        <v>0</v>
      </c>
      <c r="V101" s="331"/>
      <c r="W101" s="331"/>
      <c r="X101" s="331"/>
      <c r="Y101" s="331"/>
      <c r="Z101" s="331"/>
      <c r="AA101" s="331"/>
      <c r="AB101" s="172">
        <f t="shared" ref="AB101:AB122" si="47">SUM(AC101:AH101)</f>
        <v>0</v>
      </c>
      <c r="AC101" s="26"/>
      <c r="AD101" s="26"/>
      <c r="AE101" s="26"/>
      <c r="AF101" s="26"/>
      <c r="AG101" s="26"/>
      <c r="AH101" s="26"/>
      <c r="AI101" s="345">
        <f>(L101+M101)/J101</f>
        <v>0</v>
      </c>
      <c r="AJ101" s="345">
        <f t="shared" si="42"/>
        <v>0</v>
      </c>
      <c r="AK101" s="46" t="s">
        <v>136</v>
      </c>
      <c r="AL101" s="169" t="s">
        <v>103</v>
      </c>
      <c r="AM101" s="243" t="s">
        <v>82</v>
      </c>
      <c r="AN101" s="173" t="s">
        <v>109</v>
      </c>
      <c r="AO101" s="277" t="s">
        <v>88</v>
      </c>
      <c r="AP101" s="485">
        <v>0.55000000000000004</v>
      </c>
      <c r="AQ101" s="481">
        <v>0.44500000000000001</v>
      </c>
      <c r="AR101" s="244"/>
      <c r="AS101" s="244"/>
      <c r="AT101" s="244"/>
      <c r="AU101" s="244"/>
      <c r="AV101" s="246"/>
      <c r="AW101" s="127">
        <f t="shared" si="44"/>
        <v>0.99500000000000011</v>
      </c>
      <c r="AX101" s="289"/>
      <c r="AY101" s="289"/>
      <c r="AZ101" s="292"/>
      <c r="BA101" s="129">
        <f t="shared" si="41"/>
        <v>0.99500000000000011</v>
      </c>
      <c r="BB101" s="129">
        <f t="shared" si="43"/>
        <v>4.9750000000000003E-2</v>
      </c>
      <c r="BC101" s="54">
        <v>50</v>
      </c>
      <c r="BD101" s="54">
        <v>45</v>
      </c>
      <c r="BE101" s="54">
        <v>40</v>
      </c>
      <c r="BF101" s="54">
        <v>70</v>
      </c>
      <c r="BG101" s="65">
        <v>0</v>
      </c>
      <c r="BH101" s="53">
        <v>20</v>
      </c>
      <c r="BI101" s="31">
        <f t="shared" si="33"/>
        <v>95</v>
      </c>
      <c r="BJ101" s="31">
        <f t="shared" si="34"/>
        <v>110</v>
      </c>
      <c r="BK101" s="32">
        <f t="shared" si="35"/>
        <v>20</v>
      </c>
      <c r="BL101" s="362">
        <f t="shared" si="36"/>
        <v>225</v>
      </c>
      <c r="BM101" s="366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</row>
    <row r="102" spans="1:87" ht="13.5" customHeight="1">
      <c r="A102" s="324" t="s">
        <v>322</v>
      </c>
      <c r="B102" s="95" t="s">
        <v>323</v>
      </c>
      <c r="C102" s="76" t="s">
        <v>130</v>
      </c>
      <c r="D102" s="76" t="s">
        <v>130</v>
      </c>
      <c r="E102" s="48" t="s">
        <v>489</v>
      </c>
      <c r="F102" s="173" t="s">
        <v>70</v>
      </c>
      <c r="G102" s="173" t="s">
        <v>70</v>
      </c>
      <c r="H102" s="189" t="s">
        <v>103</v>
      </c>
      <c r="I102" s="171" t="s">
        <v>115</v>
      </c>
      <c r="J102" s="354">
        <v>56</v>
      </c>
      <c r="K102" s="235">
        <v>42</v>
      </c>
      <c r="L102" s="235">
        <v>14</v>
      </c>
      <c r="M102" s="225">
        <v>0</v>
      </c>
      <c r="N102" s="337">
        <f t="shared" si="45"/>
        <v>42</v>
      </c>
      <c r="O102" s="178"/>
      <c r="P102" s="288">
        <v>24</v>
      </c>
      <c r="Q102" s="288">
        <v>14</v>
      </c>
      <c r="R102" s="288">
        <v>4</v>
      </c>
      <c r="S102" s="178"/>
      <c r="T102" s="178"/>
      <c r="U102" s="337">
        <f t="shared" si="46"/>
        <v>14</v>
      </c>
      <c r="V102" s="178"/>
      <c r="W102" s="288">
        <v>14</v>
      </c>
      <c r="X102" s="178"/>
      <c r="Y102" s="178"/>
      <c r="Z102" s="178"/>
      <c r="AA102" s="178"/>
      <c r="AB102" s="172">
        <f t="shared" si="47"/>
        <v>0</v>
      </c>
      <c r="AC102" s="54"/>
      <c r="AD102" s="54"/>
      <c r="AE102" s="54"/>
      <c r="AF102" s="54"/>
      <c r="AG102" s="54"/>
      <c r="AH102" s="54"/>
      <c r="AI102" s="345">
        <f>(L102+M102)/J102</f>
        <v>0.25</v>
      </c>
      <c r="AJ102" s="345">
        <f t="shared" si="42"/>
        <v>0</v>
      </c>
      <c r="AK102" s="46" t="s">
        <v>73</v>
      </c>
      <c r="AL102" s="169" t="s">
        <v>103</v>
      </c>
      <c r="AM102" s="169" t="s">
        <v>82</v>
      </c>
      <c r="AN102" s="169" t="s">
        <v>71</v>
      </c>
      <c r="AO102" s="434" t="s">
        <v>88</v>
      </c>
      <c r="AP102" s="485">
        <v>3</v>
      </c>
      <c r="AQ102" s="481">
        <v>1.4319999999999999</v>
      </c>
      <c r="AR102" s="244"/>
      <c r="AS102" s="244"/>
      <c r="AT102" s="244"/>
      <c r="AU102" s="244"/>
      <c r="AV102" s="246"/>
      <c r="AW102" s="127">
        <f t="shared" si="44"/>
        <v>4.4320000000000004</v>
      </c>
      <c r="AX102" s="290"/>
      <c r="AY102" s="290"/>
      <c r="AZ102" s="195"/>
      <c r="BA102" s="129">
        <f t="shared" si="41"/>
        <v>4.4320000000000004</v>
      </c>
      <c r="BB102" s="129">
        <f t="shared" si="43"/>
        <v>7.9142857142857154E-2</v>
      </c>
      <c r="BC102" s="54">
        <v>50</v>
      </c>
      <c r="BD102" s="54">
        <v>45</v>
      </c>
      <c r="BE102" s="54">
        <v>40</v>
      </c>
      <c r="BF102" s="54">
        <v>70</v>
      </c>
      <c r="BG102" s="65">
        <v>0</v>
      </c>
      <c r="BH102" s="54">
        <v>20</v>
      </c>
      <c r="BI102" s="31">
        <f t="shared" si="33"/>
        <v>95</v>
      </c>
      <c r="BJ102" s="31">
        <f t="shared" si="34"/>
        <v>110</v>
      </c>
      <c r="BK102" s="32">
        <f t="shared" si="35"/>
        <v>20</v>
      </c>
      <c r="BL102" s="362">
        <f t="shared" si="36"/>
        <v>225</v>
      </c>
      <c r="BM102" s="368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</row>
    <row r="103" spans="1:87" ht="12.75" customHeight="1">
      <c r="A103" s="600" t="s">
        <v>521</v>
      </c>
      <c r="B103" s="601" t="s">
        <v>334</v>
      </c>
      <c r="C103" s="48" t="s">
        <v>130</v>
      </c>
      <c r="D103" s="87" t="s">
        <v>130</v>
      </c>
      <c r="E103" s="48" t="s">
        <v>489</v>
      </c>
      <c r="F103" s="602" t="s">
        <v>119</v>
      </c>
      <c r="G103" s="202" t="s">
        <v>81</v>
      </c>
      <c r="H103" s="203" t="s">
        <v>109</v>
      </c>
      <c r="I103" s="186" t="s">
        <v>169</v>
      </c>
      <c r="J103" s="238">
        <v>87</v>
      </c>
      <c r="K103" s="233">
        <v>61</v>
      </c>
      <c r="L103" s="233">
        <v>22</v>
      </c>
      <c r="M103" s="233">
        <v>4</v>
      </c>
      <c r="N103" s="172">
        <f t="shared" si="45"/>
        <v>62</v>
      </c>
      <c r="O103" s="332">
        <v>0</v>
      </c>
      <c r="P103" s="332">
        <v>28</v>
      </c>
      <c r="Q103" s="332">
        <v>28</v>
      </c>
      <c r="R103" s="332">
        <v>5</v>
      </c>
      <c r="S103" s="332">
        <v>1</v>
      </c>
      <c r="T103" s="332">
        <v>0</v>
      </c>
      <c r="U103" s="172">
        <f t="shared" si="46"/>
        <v>21</v>
      </c>
      <c r="V103" s="332">
        <v>0</v>
      </c>
      <c r="W103" s="332">
        <v>20</v>
      </c>
      <c r="X103" s="332">
        <v>0</v>
      </c>
      <c r="Y103" s="332">
        <v>0</v>
      </c>
      <c r="Z103" s="332">
        <v>1</v>
      </c>
      <c r="AA103" s="332">
        <v>0</v>
      </c>
      <c r="AB103" s="172">
        <f t="shared" si="47"/>
        <v>4</v>
      </c>
      <c r="AC103" s="65">
        <v>0</v>
      </c>
      <c r="AD103" s="65">
        <v>4</v>
      </c>
      <c r="AE103" s="65">
        <v>0</v>
      </c>
      <c r="AF103" s="65">
        <v>0</v>
      </c>
      <c r="AG103" s="65">
        <v>0</v>
      </c>
      <c r="AH103" s="65">
        <v>0</v>
      </c>
      <c r="AI103" s="345">
        <f>(L103+M103)/J103</f>
        <v>0.2988505747126437</v>
      </c>
      <c r="AJ103" s="345">
        <f t="shared" si="42"/>
        <v>4.5977011494252873E-2</v>
      </c>
      <c r="AK103" s="87" t="s">
        <v>73</v>
      </c>
      <c r="AL103" s="202" t="s">
        <v>109</v>
      </c>
      <c r="AM103" s="186" t="s">
        <v>169</v>
      </c>
      <c r="AN103" s="202" t="s">
        <v>84</v>
      </c>
      <c r="AO103" s="186" t="s">
        <v>115</v>
      </c>
      <c r="AP103" s="484"/>
      <c r="AQ103" s="604">
        <v>0.5</v>
      </c>
      <c r="AR103" s="605">
        <v>1.7170000000000001</v>
      </c>
      <c r="AS103" s="605">
        <v>1.9159999999999999</v>
      </c>
      <c r="AT103" s="244">
        <v>1</v>
      </c>
      <c r="AU103" s="280"/>
      <c r="AV103" s="246"/>
      <c r="AW103" s="127">
        <f t="shared" si="44"/>
        <v>5.133</v>
      </c>
      <c r="AX103" s="290"/>
      <c r="AY103" s="290"/>
      <c r="AZ103" s="195"/>
      <c r="BA103" s="129">
        <f t="shared" si="41"/>
        <v>5.133</v>
      </c>
      <c r="BB103" s="129">
        <f t="shared" si="43"/>
        <v>5.8999999999999997E-2</v>
      </c>
      <c r="BC103" s="54">
        <v>50</v>
      </c>
      <c r="BD103" s="54">
        <v>45</v>
      </c>
      <c r="BE103" s="54">
        <v>10</v>
      </c>
      <c r="BF103" s="54">
        <v>70</v>
      </c>
      <c r="BG103" s="54">
        <v>0</v>
      </c>
      <c r="BH103" s="54">
        <v>20</v>
      </c>
      <c r="BI103" s="31">
        <f t="shared" ref="BI103:BI134" si="48">BC103+BD103</f>
        <v>95</v>
      </c>
      <c r="BJ103" s="31">
        <f t="shared" ref="BJ103:BJ126" si="49">BE103+BF103</f>
        <v>80</v>
      </c>
      <c r="BK103" s="32">
        <f t="shared" ref="BK103:BK134" si="50">BG103+BH103</f>
        <v>20</v>
      </c>
      <c r="BL103" s="362">
        <f t="shared" ref="BL103:BL134" si="51">SUM(BI103:BK103)</f>
        <v>195</v>
      </c>
      <c r="BM103" s="373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</row>
    <row r="104" spans="1:87" ht="12.75" customHeight="1">
      <c r="A104" s="318" t="s">
        <v>324</v>
      </c>
      <c r="B104" s="620" t="s">
        <v>325</v>
      </c>
      <c r="C104" s="76" t="s">
        <v>130</v>
      </c>
      <c r="D104" s="76" t="s">
        <v>130</v>
      </c>
      <c r="E104" s="48" t="s">
        <v>489</v>
      </c>
      <c r="F104" s="173" t="s">
        <v>81</v>
      </c>
      <c r="G104" s="173" t="s">
        <v>81</v>
      </c>
      <c r="H104" s="189" t="s">
        <v>75</v>
      </c>
      <c r="I104" s="171" t="s">
        <v>125</v>
      </c>
      <c r="J104" s="220">
        <v>50</v>
      </c>
      <c r="K104" s="219">
        <v>35</v>
      </c>
      <c r="L104" s="219">
        <v>13</v>
      </c>
      <c r="M104" s="219">
        <v>2</v>
      </c>
      <c r="N104" s="172">
        <f t="shared" si="45"/>
        <v>32</v>
      </c>
      <c r="O104" s="332">
        <v>0</v>
      </c>
      <c r="P104" s="332">
        <v>15</v>
      </c>
      <c r="Q104" s="332">
        <v>15</v>
      </c>
      <c r="R104" s="332">
        <v>2</v>
      </c>
      <c r="S104" s="332">
        <v>0</v>
      </c>
      <c r="T104" s="332">
        <v>0</v>
      </c>
      <c r="U104" s="172">
        <f t="shared" si="46"/>
        <v>15</v>
      </c>
      <c r="V104" s="332">
        <v>0</v>
      </c>
      <c r="W104" s="332">
        <v>13</v>
      </c>
      <c r="X104" s="332">
        <v>1</v>
      </c>
      <c r="Y104" s="332">
        <v>0</v>
      </c>
      <c r="Z104" s="332">
        <v>1</v>
      </c>
      <c r="AA104" s="332">
        <v>0</v>
      </c>
      <c r="AB104" s="172">
        <f t="shared" si="47"/>
        <v>3</v>
      </c>
      <c r="AC104" s="43">
        <v>0</v>
      </c>
      <c r="AD104" s="43">
        <v>2</v>
      </c>
      <c r="AE104" s="43">
        <v>1</v>
      </c>
      <c r="AF104" s="43">
        <v>0</v>
      </c>
      <c r="AG104" s="43">
        <v>0</v>
      </c>
      <c r="AH104" s="43">
        <v>0</v>
      </c>
      <c r="AI104" s="345">
        <f>(U104+AB104)/J104</f>
        <v>0.36</v>
      </c>
      <c r="AJ104" s="345">
        <f t="shared" si="42"/>
        <v>0.06</v>
      </c>
      <c r="AK104" s="46" t="s">
        <v>73</v>
      </c>
      <c r="AL104" s="187" t="s">
        <v>75</v>
      </c>
      <c r="AM104" s="173" t="s">
        <v>125</v>
      </c>
      <c r="AN104" s="167" t="s">
        <v>89</v>
      </c>
      <c r="AO104" s="173" t="s">
        <v>125</v>
      </c>
      <c r="AP104" s="273"/>
      <c r="AQ104" s="272"/>
      <c r="AR104" s="272"/>
      <c r="AS104" s="272"/>
      <c r="AT104" s="272">
        <v>1.2</v>
      </c>
      <c r="AU104" s="272">
        <v>1.75</v>
      </c>
      <c r="AV104" s="272"/>
      <c r="AW104" s="127">
        <f t="shared" si="44"/>
        <v>2.95</v>
      </c>
      <c r="AX104" s="298"/>
      <c r="AY104" s="298"/>
      <c r="AZ104" s="176"/>
      <c r="BA104" s="129">
        <f t="shared" si="41"/>
        <v>2.95</v>
      </c>
      <c r="BB104" s="129">
        <f t="shared" si="43"/>
        <v>5.9000000000000004E-2</v>
      </c>
      <c r="BC104" s="54">
        <v>50</v>
      </c>
      <c r="BD104" s="54">
        <v>45</v>
      </c>
      <c r="BE104" s="54">
        <v>10</v>
      </c>
      <c r="BF104" s="54">
        <v>10</v>
      </c>
      <c r="BG104" s="54">
        <v>0</v>
      </c>
      <c r="BH104" s="54">
        <v>20</v>
      </c>
      <c r="BI104" s="31">
        <f t="shared" si="48"/>
        <v>95</v>
      </c>
      <c r="BJ104" s="31">
        <f t="shared" si="49"/>
        <v>20</v>
      </c>
      <c r="BK104" s="32">
        <f t="shared" si="50"/>
        <v>20</v>
      </c>
      <c r="BL104" s="362">
        <f t="shared" si="51"/>
        <v>135</v>
      </c>
      <c r="BM104" s="366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</row>
    <row r="105" spans="1:87" ht="13.5" customHeight="1">
      <c r="A105" s="320" t="s">
        <v>328</v>
      </c>
      <c r="B105" s="311" t="s">
        <v>329</v>
      </c>
      <c r="C105" s="23" t="s">
        <v>130</v>
      </c>
      <c r="D105" s="45" t="s">
        <v>130</v>
      </c>
      <c r="E105" s="48" t="s">
        <v>489</v>
      </c>
      <c r="F105" s="173" t="s">
        <v>70</v>
      </c>
      <c r="G105" s="173" t="s">
        <v>70</v>
      </c>
      <c r="H105" s="189" t="s">
        <v>103</v>
      </c>
      <c r="I105" s="197" t="s">
        <v>125</v>
      </c>
      <c r="J105" s="224">
        <v>25</v>
      </c>
      <c r="K105" s="222">
        <v>23</v>
      </c>
      <c r="L105" s="222">
        <v>2</v>
      </c>
      <c r="M105" s="222">
        <v>0</v>
      </c>
      <c r="N105" s="172">
        <f t="shared" si="45"/>
        <v>23</v>
      </c>
      <c r="O105" s="331"/>
      <c r="P105" s="335">
        <v>15</v>
      </c>
      <c r="Q105" s="335">
        <v>6</v>
      </c>
      <c r="R105" s="335">
        <v>2</v>
      </c>
      <c r="S105" s="331"/>
      <c r="T105" s="331"/>
      <c r="U105" s="172">
        <f t="shared" si="46"/>
        <v>2</v>
      </c>
      <c r="V105" s="331"/>
      <c r="W105" s="335">
        <v>2</v>
      </c>
      <c r="X105" s="331"/>
      <c r="Y105" s="331"/>
      <c r="Z105" s="331"/>
      <c r="AA105" s="331"/>
      <c r="AB105" s="172">
        <f t="shared" si="47"/>
        <v>0</v>
      </c>
      <c r="AC105" s="26"/>
      <c r="AD105" s="26"/>
      <c r="AE105" s="26"/>
      <c r="AF105" s="26"/>
      <c r="AG105" s="26"/>
      <c r="AH105" s="26"/>
      <c r="AI105" s="345">
        <f>(L105+M105)/J105</f>
        <v>0.08</v>
      </c>
      <c r="AJ105" s="345">
        <f t="shared" si="42"/>
        <v>0</v>
      </c>
      <c r="AK105" s="46" t="s">
        <v>73</v>
      </c>
      <c r="AL105" s="173" t="s">
        <v>103</v>
      </c>
      <c r="AM105" s="196" t="s">
        <v>97</v>
      </c>
      <c r="AN105" s="169" t="s">
        <v>109</v>
      </c>
      <c r="AO105" s="196" t="s">
        <v>115</v>
      </c>
      <c r="AP105" s="244"/>
      <c r="AQ105" s="281"/>
      <c r="AR105" s="281"/>
      <c r="AS105" s="287"/>
      <c r="AT105" s="281"/>
      <c r="AU105" s="281"/>
      <c r="AV105" s="246"/>
      <c r="AW105" s="127">
        <f t="shared" si="44"/>
        <v>0</v>
      </c>
      <c r="AX105" s="287"/>
      <c r="AY105" s="287"/>
      <c r="AZ105" s="294"/>
      <c r="BA105" s="129">
        <f t="shared" si="41"/>
        <v>0</v>
      </c>
      <c r="BB105" s="129">
        <f t="shared" si="43"/>
        <v>0</v>
      </c>
      <c r="BC105" s="40">
        <v>50</v>
      </c>
      <c r="BD105" s="40">
        <v>45</v>
      </c>
      <c r="BE105" s="40">
        <v>80</v>
      </c>
      <c r="BF105" s="40">
        <v>70</v>
      </c>
      <c r="BG105" s="40">
        <v>0</v>
      </c>
      <c r="BH105" s="40">
        <v>0</v>
      </c>
      <c r="BI105" s="31">
        <f t="shared" si="48"/>
        <v>95</v>
      </c>
      <c r="BJ105" s="31">
        <f t="shared" si="49"/>
        <v>150</v>
      </c>
      <c r="BK105" s="32">
        <f t="shared" si="50"/>
        <v>0</v>
      </c>
      <c r="BL105" s="362">
        <f t="shared" si="51"/>
        <v>245</v>
      </c>
      <c r="BM105" s="367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</row>
    <row r="106" spans="1:87" ht="13.5" customHeight="1">
      <c r="A106" s="324" t="s">
        <v>520</v>
      </c>
      <c r="B106" s="596" t="s">
        <v>336</v>
      </c>
      <c r="C106" s="77" t="s">
        <v>130</v>
      </c>
      <c r="D106" s="62" t="s">
        <v>130</v>
      </c>
      <c r="E106" s="48" t="s">
        <v>489</v>
      </c>
      <c r="F106" s="171" t="s">
        <v>119</v>
      </c>
      <c r="G106" s="171" t="s">
        <v>81</v>
      </c>
      <c r="H106" s="194" t="s">
        <v>89</v>
      </c>
      <c r="I106" s="266" t="s">
        <v>104</v>
      </c>
      <c r="J106" s="229">
        <v>25</v>
      </c>
      <c r="K106" s="226">
        <v>18</v>
      </c>
      <c r="L106" s="226">
        <v>6</v>
      </c>
      <c r="M106" s="226">
        <v>1</v>
      </c>
      <c r="N106" s="172">
        <f t="shared" si="45"/>
        <v>12</v>
      </c>
      <c r="O106" s="290">
        <v>0</v>
      </c>
      <c r="P106" s="290">
        <v>5</v>
      </c>
      <c r="Q106" s="290">
        <v>5</v>
      </c>
      <c r="R106" s="290">
        <v>2</v>
      </c>
      <c r="S106" s="290">
        <v>0</v>
      </c>
      <c r="T106" s="290">
        <v>0</v>
      </c>
      <c r="U106" s="172">
        <f t="shared" si="46"/>
        <v>6</v>
      </c>
      <c r="V106" s="290">
        <v>0</v>
      </c>
      <c r="W106" s="290">
        <v>4</v>
      </c>
      <c r="X106" s="290">
        <v>2</v>
      </c>
      <c r="Y106" s="290">
        <v>0</v>
      </c>
      <c r="Z106" s="290">
        <v>0</v>
      </c>
      <c r="AA106" s="290">
        <v>0</v>
      </c>
      <c r="AB106" s="172">
        <f t="shared" si="47"/>
        <v>4</v>
      </c>
      <c r="AC106" s="69">
        <v>0</v>
      </c>
      <c r="AD106" s="69">
        <v>2</v>
      </c>
      <c r="AE106" s="69">
        <v>2</v>
      </c>
      <c r="AF106" s="69">
        <v>0</v>
      </c>
      <c r="AG106" s="69">
        <v>0</v>
      </c>
      <c r="AH106" s="69">
        <v>0</v>
      </c>
      <c r="AI106" s="345">
        <f>(L106+M106)/J106</f>
        <v>0.28000000000000003</v>
      </c>
      <c r="AJ106" s="345">
        <f t="shared" si="42"/>
        <v>0.16</v>
      </c>
      <c r="AK106" s="87" t="s">
        <v>73</v>
      </c>
      <c r="AL106" s="194" t="s">
        <v>89</v>
      </c>
      <c r="AM106" s="188" t="s">
        <v>104</v>
      </c>
      <c r="AN106" s="194" t="s">
        <v>89</v>
      </c>
      <c r="AO106" s="243" t="s">
        <v>97</v>
      </c>
      <c r="AP106" s="273"/>
      <c r="AQ106" s="273"/>
      <c r="AR106" s="248"/>
      <c r="AS106" s="248"/>
      <c r="AT106" s="248"/>
      <c r="AU106" s="248">
        <v>1.4750000000000001</v>
      </c>
      <c r="AV106" s="248"/>
      <c r="AW106" s="127">
        <f t="shared" si="44"/>
        <v>1.4750000000000001</v>
      </c>
      <c r="AX106" s="286"/>
      <c r="AY106" s="286"/>
      <c r="AZ106" s="291"/>
      <c r="BA106" s="129">
        <f t="shared" si="41"/>
        <v>1.4750000000000001</v>
      </c>
      <c r="BB106" s="129">
        <f t="shared" si="43"/>
        <v>5.9000000000000004E-2</v>
      </c>
      <c r="BC106" s="54">
        <v>50</v>
      </c>
      <c r="BD106" s="54">
        <v>45</v>
      </c>
      <c r="BE106" s="54">
        <v>0</v>
      </c>
      <c r="BF106" s="54">
        <v>30</v>
      </c>
      <c r="BG106" s="54">
        <v>0</v>
      </c>
      <c r="BH106" s="54">
        <v>0</v>
      </c>
      <c r="BI106" s="31">
        <f t="shared" si="48"/>
        <v>95</v>
      </c>
      <c r="BJ106" s="31">
        <f t="shared" si="49"/>
        <v>30</v>
      </c>
      <c r="BK106" s="32">
        <f t="shared" si="50"/>
        <v>0</v>
      </c>
      <c r="BL106" s="362">
        <f t="shared" si="51"/>
        <v>125</v>
      </c>
      <c r="BM106" s="378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</row>
    <row r="107" spans="1:87" ht="13.5" customHeight="1">
      <c r="A107" s="318" t="s">
        <v>326</v>
      </c>
      <c r="B107" s="606" t="s">
        <v>327</v>
      </c>
      <c r="C107" s="66" t="s">
        <v>130</v>
      </c>
      <c r="D107" s="45" t="s">
        <v>130</v>
      </c>
      <c r="E107" s="48" t="s">
        <v>489</v>
      </c>
      <c r="F107" s="195" t="s">
        <v>81</v>
      </c>
      <c r="G107" s="195" t="s">
        <v>81</v>
      </c>
      <c r="H107" s="186" t="s">
        <v>71</v>
      </c>
      <c r="I107" s="190" t="s">
        <v>110</v>
      </c>
      <c r="J107" s="224">
        <v>3</v>
      </c>
      <c r="K107" s="216">
        <v>0</v>
      </c>
      <c r="L107" s="216">
        <v>0</v>
      </c>
      <c r="M107" s="216">
        <v>3</v>
      </c>
      <c r="N107" s="172">
        <f t="shared" si="45"/>
        <v>0</v>
      </c>
      <c r="O107" s="331">
        <v>0</v>
      </c>
      <c r="P107" s="331">
        <v>0</v>
      </c>
      <c r="Q107" s="331">
        <v>0</v>
      </c>
      <c r="R107" s="331">
        <v>0</v>
      </c>
      <c r="S107" s="331">
        <v>0</v>
      </c>
      <c r="T107" s="331">
        <v>0</v>
      </c>
      <c r="U107" s="172">
        <f t="shared" si="46"/>
        <v>0</v>
      </c>
      <c r="V107" s="331">
        <v>0</v>
      </c>
      <c r="W107" s="331">
        <v>0</v>
      </c>
      <c r="X107" s="331">
        <v>0</v>
      </c>
      <c r="Y107" s="331">
        <v>0</v>
      </c>
      <c r="Z107" s="331">
        <v>0</v>
      </c>
      <c r="AA107" s="331">
        <v>0</v>
      </c>
      <c r="AB107" s="172">
        <f t="shared" si="47"/>
        <v>3</v>
      </c>
      <c r="AC107" s="26">
        <v>0</v>
      </c>
      <c r="AD107" s="26">
        <v>3</v>
      </c>
      <c r="AE107" s="26">
        <v>0</v>
      </c>
      <c r="AF107" s="26">
        <v>0</v>
      </c>
      <c r="AG107" s="26">
        <v>0</v>
      </c>
      <c r="AH107" s="26">
        <v>0</v>
      </c>
      <c r="AI107" s="345">
        <f>(U107+AB107)/J107</f>
        <v>1</v>
      </c>
      <c r="AJ107" s="345">
        <f t="shared" si="42"/>
        <v>1</v>
      </c>
      <c r="AK107" s="46" t="s">
        <v>73</v>
      </c>
      <c r="AL107" s="166" t="s">
        <v>71</v>
      </c>
      <c r="AM107" s="455" t="s">
        <v>85</v>
      </c>
      <c r="AN107" s="278" t="s">
        <v>71</v>
      </c>
      <c r="AO107" s="263" t="s">
        <v>96</v>
      </c>
      <c r="AP107" s="272"/>
      <c r="AQ107" s="496"/>
      <c r="AR107" s="496">
        <v>0.17699999999999999</v>
      </c>
      <c r="AS107" s="248"/>
      <c r="AT107" s="248"/>
      <c r="AU107" s="248"/>
      <c r="AV107" s="248"/>
      <c r="AW107" s="127">
        <f t="shared" si="44"/>
        <v>0.17699999999999999</v>
      </c>
      <c r="AX107" s="286"/>
      <c r="AY107" s="286"/>
      <c r="AZ107" s="292"/>
      <c r="BA107" s="129">
        <f t="shared" si="41"/>
        <v>0.17699999999999999</v>
      </c>
      <c r="BB107" s="129">
        <f t="shared" si="43"/>
        <v>5.8999999999999997E-2</v>
      </c>
      <c r="BC107" s="54">
        <v>50</v>
      </c>
      <c r="BD107" s="54">
        <v>45</v>
      </c>
      <c r="BE107" s="54">
        <v>50</v>
      </c>
      <c r="BF107" s="54">
        <v>30</v>
      </c>
      <c r="BG107" s="54">
        <v>0</v>
      </c>
      <c r="BH107" s="54">
        <v>0</v>
      </c>
      <c r="BI107" s="31">
        <f t="shared" si="48"/>
        <v>95</v>
      </c>
      <c r="BJ107" s="31">
        <f t="shared" si="49"/>
        <v>80</v>
      </c>
      <c r="BK107" s="32">
        <f t="shared" si="50"/>
        <v>0</v>
      </c>
      <c r="BL107" s="362">
        <f t="shared" si="51"/>
        <v>175</v>
      </c>
      <c r="BM107" s="366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</row>
    <row r="108" spans="1:87" ht="13.5" customHeight="1">
      <c r="A108" s="319" t="s">
        <v>332</v>
      </c>
      <c r="B108" s="304" t="s">
        <v>333</v>
      </c>
      <c r="C108" s="42" t="s">
        <v>130</v>
      </c>
      <c r="D108" s="58" t="s">
        <v>130</v>
      </c>
      <c r="E108" s="48" t="s">
        <v>489</v>
      </c>
      <c r="F108" s="173" t="s">
        <v>70</v>
      </c>
      <c r="G108" s="173" t="s">
        <v>70</v>
      </c>
      <c r="H108" s="170" t="s">
        <v>109</v>
      </c>
      <c r="I108" s="193" t="s">
        <v>104</v>
      </c>
      <c r="J108" s="238">
        <v>15</v>
      </c>
      <c r="K108" s="216">
        <v>11</v>
      </c>
      <c r="L108" s="216">
        <v>4</v>
      </c>
      <c r="M108" s="216"/>
      <c r="N108" s="172">
        <f t="shared" si="45"/>
        <v>11</v>
      </c>
      <c r="O108" s="331"/>
      <c r="P108" s="331">
        <v>8</v>
      </c>
      <c r="Q108" s="331">
        <v>2</v>
      </c>
      <c r="R108" s="331">
        <v>1</v>
      </c>
      <c r="S108" s="331"/>
      <c r="T108" s="331"/>
      <c r="U108" s="172">
        <f t="shared" si="46"/>
        <v>4</v>
      </c>
      <c r="V108" s="331"/>
      <c r="W108" s="331">
        <v>4</v>
      </c>
      <c r="X108" s="331"/>
      <c r="Y108" s="331"/>
      <c r="Z108" s="331"/>
      <c r="AA108" s="331"/>
      <c r="AB108" s="172">
        <f t="shared" si="47"/>
        <v>0</v>
      </c>
      <c r="AC108" s="26"/>
      <c r="AD108" s="26"/>
      <c r="AE108" s="26"/>
      <c r="AF108" s="26"/>
      <c r="AG108" s="26"/>
      <c r="AH108" s="26"/>
      <c r="AI108" s="345">
        <f t="shared" ref="AI108:AI116" si="52">(L108+M108)/J108</f>
        <v>0.26666666666666666</v>
      </c>
      <c r="AJ108" s="345">
        <f t="shared" si="42"/>
        <v>0</v>
      </c>
      <c r="AK108" s="46" t="s">
        <v>73</v>
      </c>
      <c r="AL108" s="169" t="s">
        <v>109</v>
      </c>
      <c r="AM108" s="193" t="s">
        <v>132</v>
      </c>
      <c r="AN108" s="169" t="s">
        <v>109</v>
      </c>
      <c r="AO108" s="193" t="s">
        <v>97</v>
      </c>
      <c r="AP108" s="249"/>
      <c r="AQ108" s="249">
        <v>1.17</v>
      </c>
      <c r="AR108" s="244"/>
      <c r="AS108" s="244"/>
      <c r="AT108" s="244"/>
      <c r="AU108" s="244"/>
      <c r="AV108" s="246"/>
      <c r="AW108" s="127">
        <f t="shared" si="44"/>
        <v>1.17</v>
      </c>
      <c r="AX108" s="287"/>
      <c r="AY108" s="287"/>
      <c r="AZ108" s="294"/>
      <c r="BA108" s="129">
        <f t="shared" si="41"/>
        <v>1.17</v>
      </c>
      <c r="BB108" s="129">
        <f t="shared" si="43"/>
        <v>7.8E-2</v>
      </c>
      <c r="BC108" s="40">
        <v>50</v>
      </c>
      <c r="BD108" s="40">
        <v>45</v>
      </c>
      <c r="BE108" s="40">
        <v>10</v>
      </c>
      <c r="BF108" s="40">
        <v>30</v>
      </c>
      <c r="BG108" s="40">
        <v>0</v>
      </c>
      <c r="BH108" s="40">
        <v>0</v>
      </c>
      <c r="BI108" s="31">
        <f t="shared" si="48"/>
        <v>95</v>
      </c>
      <c r="BJ108" s="31">
        <f t="shared" si="49"/>
        <v>40</v>
      </c>
      <c r="BK108" s="32">
        <f t="shared" si="50"/>
        <v>0</v>
      </c>
      <c r="BL108" s="362">
        <f t="shared" si="51"/>
        <v>135</v>
      </c>
      <c r="BM108" s="367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</row>
    <row r="109" spans="1:87" ht="12.75">
      <c r="A109" s="319" t="s">
        <v>519</v>
      </c>
      <c r="B109" s="613" t="s">
        <v>338</v>
      </c>
      <c r="C109" s="59" t="s">
        <v>337</v>
      </c>
      <c r="D109" s="59" t="s">
        <v>95</v>
      </c>
      <c r="E109" s="59" t="s">
        <v>490</v>
      </c>
      <c r="F109" s="171" t="s">
        <v>119</v>
      </c>
      <c r="G109" s="169" t="s">
        <v>81</v>
      </c>
      <c r="H109" s="170" t="s">
        <v>71</v>
      </c>
      <c r="I109" s="193" t="s">
        <v>104</v>
      </c>
      <c r="J109" s="232">
        <v>11</v>
      </c>
      <c r="K109" s="216">
        <v>9</v>
      </c>
      <c r="L109" s="216">
        <v>2</v>
      </c>
      <c r="M109" s="216">
        <v>0</v>
      </c>
      <c r="N109" s="172">
        <f t="shared" si="45"/>
        <v>9</v>
      </c>
      <c r="O109" s="332">
        <v>0</v>
      </c>
      <c r="P109" s="332">
        <v>0</v>
      </c>
      <c r="Q109" s="332">
        <v>6</v>
      </c>
      <c r="R109" s="332">
        <v>3</v>
      </c>
      <c r="S109" s="332">
        <v>0</v>
      </c>
      <c r="T109" s="332">
        <v>0</v>
      </c>
      <c r="U109" s="172">
        <f t="shared" si="46"/>
        <v>2</v>
      </c>
      <c r="V109" s="332">
        <v>0</v>
      </c>
      <c r="W109" s="332">
        <v>1</v>
      </c>
      <c r="X109" s="332">
        <v>1</v>
      </c>
      <c r="Y109" s="332">
        <v>0</v>
      </c>
      <c r="Z109" s="332">
        <v>0</v>
      </c>
      <c r="AA109" s="332">
        <v>0</v>
      </c>
      <c r="AB109" s="172">
        <f t="shared" si="47"/>
        <v>0</v>
      </c>
      <c r="AC109" s="43">
        <v>0</v>
      </c>
      <c r="AD109" s="43">
        <v>0</v>
      </c>
      <c r="AE109" s="43">
        <v>0</v>
      </c>
      <c r="AF109" s="43">
        <v>0</v>
      </c>
      <c r="AG109" s="43">
        <v>0</v>
      </c>
      <c r="AH109" s="43">
        <v>0</v>
      </c>
      <c r="AI109" s="345">
        <f t="shared" si="52"/>
        <v>0.18181818181818182</v>
      </c>
      <c r="AJ109" s="345">
        <f t="shared" si="42"/>
        <v>0</v>
      </c>
      <c r="AK109" s="72" t="s">
        <v>83</v>
      </c>
      <c r="AL109" s="170" t="s">
        <v>71</v>
      </c>
      <c r="AM109" s="193" t="s">
        <v>104</v>
      </c>
      <c r="AN109" s="170" t="s">
        <v>71</v>
      </c>
      <c r="AO109" s="193" t="s">
        <v>104</v>
      </c>
      <c r="AP109" s="248"/>
      <c r="AQ109" s="248"/>
      <c r="AR109" s="248">
        <v>0.627</v>
      </c>
      <c r="AS109" s="248"/>
      <c r="AT109" s="248"/>
      <c r="AU109" s="248"/>
      <c r="AV109" s="248"/>
      <c r="AW109" s="127">
        <f t="shared" si="44"/>
        <v>0.627</v>
      </c>
      <c r="AX109" s="286"/>
      <c r="AY109" s="286"/>
      <c r="AZ109" s="444"/>
      <c r="BA109" s="129">
        <f t="shared" si="41"/>
        <v>0.627</v>
      </c>
      <c r="BB109" s="129">
        <f t="shared" si="43"/>
        <v>5.7000000000000002E-2</v>
      </c>
      <c r="BC109" s="54">
        <v>20</v>
      </c>
      <c r="BD109" s="54">
        <v>15</v>
      </c>
      <c r="BE109" s="54">
        <v>30</v>
      </c>
      <c r="BF109" s="54">
        <v>70</v>
      </c>
      <c r="BG109" s="54">
        <v>0</v>
      </c>
      <c r="BH109" s="54">
        <v>0</v>
      </c>
      <c r="BI109" s="31">
        <f t="shared" si="48"/>
        <v>35</v>
      </c>
      <c r="BJ109" s="31">
        <f t="shared" si="49"/>
        <v>100</v>
      </c>
      <c r="BK109" s="32">
        <f t="shared" si="50"/>
        <v>0</v>
      </c>
      <c r="BL109" s="362">
        <f t="shared" si="51"/>
        <v>135</v>
      </c>
      <c r="BM109" s="376"/>
      <c r="BN109" s="1"/>
      <c r="BO109" s="1"/>
      <c r="BP109" s="1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</row>
    <row r="110" spans="1:87" ht="13.5" customHeight="1">
      <c r="A110" s="318" t="s">
        <v>517</v>
      </c>
      <c r="B110" s="607" t="s">
        <v>162</v>
      </c>
      <c r="C110" s="52" t="s">
        <v>339</v>
      </c>
      <c r="D110" s="58" t="s">
        <v>157</v>
      </c>
      <c r="E110" s="58" t="s">
        <v>489</v>
      </c>
      <c r="F110" s="173" t="s">
        <v>119</v>
      </c>
      <c r="G110" s="173" t="s">
        <v>81</v>
      </c>
      <c r="H110" s="194" t="s">
        <v>109</v>
      </c>
      <c r="I110" s="185" t="s">
        <v>96</v>
      </c>
      <c r="J110" s="238">
        <v>38</v>
      </c>
      <c r="K110" s="216">
        <v>28</v>
      </c>
      <c r="L110" s="216">
        <v>10</v>
      </c>
      <c r="M110" s="216">
        <v>0</v>
      </c>
      <c r="N110" s="172">
        <f t="shared" si="45"/>
        <v>28</v>
      </c>
      <c r="O110" s="331">
        <v>0</v>
      </c>
      <c r="P110" s="331">
        <v>14</v>
      </c>
      <c r="Q110" s="331">
        <v>10</v>
      </c>
      <c r="R110" s="331">
        <v>4</v>
      </c>
      <c r="S110" s="331">
        <v>0</v>
      </c>
      <c r="T110" s="331">
        <v>0</v>
      </c>
      <c r="U110" s="172">
        <f t="shared" si="46"/>
        <v>10</v>
      </c>
      <c r="V110" s="290">
        <v>0</v>
      </c>
      <c r="W110" s="290">
        <v>8</v>
      </c>
      <c r="X110" s="290">
        <v>0</v>
      </c>
      <c r="Y110" s="290">
        <v>0</v>
      </c>
      <c r="Z110" s="290">
        <v>2</v>
      </c>
      <c r="AA110" s="290">
        <v>0</v>
      </c>
      <c r="AB110" s="172">
        <f t="shared" si="47"/>
        <v>0</v>
      </c>
      <c r="AC110" s="69">
        <v>0</v>
      </c>
      <c r="AD110" s="69">
        <v>0</v>
      </c>
      <c r="AE110" s="25">
        <v>0</v>
      </c>
      <c r="AF110" s="25">
        <v>0</v>
      </c>
      <c r="AG110" s="25">
        <v>0</v>
      </c>
      <c r="AH110" s="25">
        <v>0</v>
      </c>
      <c r="AI110" s="345">
        <f t="shared" si="52"/>
        <v>0.26315789473684209</v>
      </c>
      <c r="AJ110" s="345">
        <f t="shared" si="42"/>
        <v>0</v>
      </c>
      <c r="AK110" s="34" t="s">
        <v>73</v>
      </c>
      <c r="AL110" s="194" t="s">
        <v>109</v>
      </c>
      <c r="AM110" s="194" t="s">
        <v>96</v>
      </c>
      <c r="AN110" s="194" t="s">
        <v>75</v>
      </c>
      <c r="AO110" s="169" t="s">
        <v>85</v>
      </c>
      <c r="AP110" s="248"/>
      <c r="AQ110" s="496">
        <v>0.74199999999999999</v>
      </c>
      <c r="AR110" s="496">
        <v>1.5</v>
      </c>
      <c r="AS110" s="248"/>
      <c r="AT110" s="248"/>
      <c r="AU110" s="248"/>
      <c r="AV110" s="248"/>
      <c r="AW110" s="127">
        <f>SUM(AQ110:AV110)</f>
        <v>2.242</v>
      </c>
      <c r="AX110" s="286"/>
      <c r="AY110" s="286"/>
      <c r="AZ110" s="294"/>
      <c r="BA110" s="129">
        <f t="shared" si="41"/>
        <v>2.242</v>
      </c>
      <c r="BB110" s="129">
        <f t="shared" si="43"/>
        <v>5.8999999999999997E-2</v>
      </c>
      <c r="BC110" s="54">
        <v>50</v>
      </c>
      <c r="BD110" s="54">
        <v>45</v>
      </c>
      <c r="BE110" s="40">
        <v>0</v>
      </c>
      <c r="BF110" s="40">
        <v>30</v>
      </c>
      <c r="BG110" s="40">
        <v>0</v>
      </c>
      <c r="BH110" s="40">
        <v>0</v>
      </c>
      <c r="BI110" s="31">
        <f t="shared" si="48"/>
        <v>95</v>
      </c>
      <c r="BJ110" s="31">
        <f t="shared" si="49"/>
        <v>30</v>
      </c>
      <c r="BK110" s="32">
        <f t="shared" si="50"/>
        <v>0</v>
      </c>
      <c r="BL110" s="362">
        <f t="shared" si="51"/>
        <v>125</v>
      </c>
      <c r="BM110" s="365"/>
      <c r="BN110" s="1"/>
      <c r="BO110" s="5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</row>
    <row r="111" spans="1:87" ht="13.5" customHeight="1">
      <c r="A111" s="318" t="s">
        <v>340</v>
      </c>
      <c r="B111" s="314" t="s">
        <v>341</v>
      </c>
      <c r="C111" s="72" t="s">
        <v>339</v>
      </c>
      <c r="D111" s="41" t="s">
        <v>157</v>
      </c>
      <c r="E111" s="41" t="s">
        <v>489</v>
      </c>
      <c r="F111" s="173" t="s">
        <v>70</v>
      </c>
      <c r="G111" s="173" t="s">
        <v>70</v>
      </c>
      <c r="H111" s="186" t="s">
        <v>71</v>
      </c>
      <c r="I111" s="186" t="s">
        <v>104</v>
      </c>
      <c r="J111" s="229">
        <v>45</v>
      </c>
      <c r="K111" s="216">
        <v>28</v>
      </c>
      <c r="L111" s="216">
        <v>15</v>
      </c>
      <c r="M111" s="216">
        <v>2</v>
      </c>
      <c r="N111" s="172">
        <f t="shared" si="45"/>
        <v>28</v>
      </c>
      <c r="O111" s="331"/>
      <c r="P111" s="331">
        <v>23</v>
      </c>
      <c r="Q111" s="331">
        <v>5</v>
      </c>
      <c r="R111" s="331"/>
      <c r="S111" s="331"/>
      <c r="T111" s="331"/>
      <c r="U111" s="172">
        <f t="shared" si="46"/>
        <v>14</v>
      </c>
      <c r="V111" s="195"/>
      <c r="W111" s="186">
        <v>12</v>
      </c>
      <c r="X111" s="186">
        <v>2</v>
      </c>
      <c r="Y111" s="195"/>
      <c r="Z111" s="195"/>
      <c r="AA111" s="178"/>
      <c r="AB111" s="172">
        <f t="shared" si="47"/>
        <v>3</v>
      </c>
      <c r="AC111" s="41"/>
      <c r="AD111" s="41">
        <v>3</v>
      </c>
      <c r="AE111" s="26"/>
      <c r="AF111" s="26"/>
      <c r="AG111" s="26"/>
      <c r="AH111" s="26"/>
      <c r="AI111" s="345">
        <f t="shared" si="52"/>
        <v>0.37777777777777777</v>
      </c>
      <c r="AJ111" s="345">
        <f t="shared" si="42"/>
        <v>6.6666666666666666E-2</v>
      </c>
      <c r="AK111" s="46" t="s">
        <v>73</v>
      </c>
      <c r="AL111" s="173" t="s">
        <v>71</v>
      </c>
      <c r="AM111" s="210" t="s">
        <v>104</v>
      </c>
      <c r="AN111" s="173" t="s">
        <v>75</v>
      </c>
      <c r="AO111" s="210" t="s">
        <v>97</v>
      </c>
      <c r="AP111" s="244"/>
      <c r="AQ111" s="244"/>
      <c r="AR111" s="244">
        <v>3.51</v>
      </c>
      <c r="AS111" s="244"/>
      <c r="AT111" s="244"/>
      <c r="AU111" s="281"/>
      <c r="AV111" s="246"/>
      <c r="AW111" s="127">
        <f t="shared" si="44"/>
        <v>3.51</v>
      </c>
      <c r="AX111" s="287"/>
      <c r="AY111" s="287"/>
      <c r="AZ111" s="294"/>
      <c r="BA111" s="129">
        <f t="shared" si="41"/>
        <v>3.51</v>
      </c>
      <c r="BB111" s="129">
        <f t="shared" si="43"/>
        <v>7.8E-2</v>
      </c>
      <c r="BC111" s="40">
        <v>50</v>
      </c>
      <c r="BD111" s="40">
        <v>45</v>
      </c>
      <c r="BE111" s="40">
        <v>50</v>
      </c>
      <c r="BF111" s="40">
        <v>30</v>
      </c>
      <c r="BG111" s="40">
        <v>0</v>
      </c>
      <c r="BH111" s="40">
        <v>0</v>
      </c>
      <c r="BI111" s="31">
        <f t="shared" si="48"/>
        <v>95</v>
      </c>
      <c r="BJ111" s="31">
        <f t="shared" si="49"/>
        <v>80</v>
      </c>
      <c r="BK111" s="32">
        <f t="shared" si="50"/>
        <v>0</v>
      </c>
      <c r="BL111" s="361">
        <f t="shared" si="51"/>
        <v>175</v>
      </c>
      <c r="BM111" s="367"/>
      <c r="BN111" s="1"/>
      <c r="BO111" s="5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</row>
    <row r="112" spans="1:87" ht="13.5" customHeight="1">
      <c r="A112" s="320" t="s">
        <v>342</v>
      </c>
      <c r="B112" s="610" t="s">
        <v>343</v>
      </c>
      <c r="C112" s="42" t="s">
        <v>344</v>
      </c>
      <c r="D112" s="44" t="s">
        <v>108</v>
      </c>
      <c r="E112" s="76" t="s">
        <v>491</v>
      </c>
      <c r="F112" s="192" t="s">
        <v>81</v>
      </c>
      <c r="G112" s="192" t="s">
        <v>81</v>
      </c>
      <c r="H112" s="170" t="s">
        <v>75</v>
      </c>
      <c r="I112" s="205" t="s">
        <v>72</v>
      </c>
      <c r="J112" s="220">
        <v>80</v>
      </c>
      <c r="K112" s="219">
        <v>56</v>
      </c>
      <c r="L112" s="219">
        <v>20</v>
      </c>
      <c r="M112" s="219">
        <v>4</v>
      </c>
      <c r="N112" s="172">
        <f t="shared" si="45"/>
        <v>56</v>
      </c>
      <c r="O112" s="332">
        <v>0</v>
      </c>
      <c r="P112" s="332">
        <v>25</v>
      </c>
      <c r="Q112" s="332">
        <v>25</v>
      </c>
      <c r="R112" s="332">
        <v>5</v>
      </c>
      <c r="S112" s="332">
        <v>1</v>
      </c>
      <c r="T112" s="332">
        <v>0</v>
      </c>
      <c r="U112" s="172">
        <f t="shared" si="46"/>
        <v>20</v>
      </c>
      <c r="V112" s="332">
        <v>0</v>
      </c>
      <c r="W112" s="332">
        <v>19</v>
      </c>
      <c r="X112" s="332">
        <v>0</v>
      </c>
      <c r="Y112" s="332">
        <v>0</v>
      </c>
      <c r="Z112" s="332">
        <v>1</v>
      </c>
      <c r="AA112" s="332">
        <v>0</v>
      </c>
      <c r="AB112" s="172">
        <f t="shared" si="47"/>
        <v>4</v>
      </c>
      <c r="AC112" s="37">
        <v>0</v>
      </c>
      <c r="AD112" s="37">
        <v>4</v>
      </c>
      <c r="AE112" s="37">
        <v>0</v>
      </c>
      <c r="AF112" s="37">
        <v>0</v>
      </c>
      <c r="AG112" s="37">
        <v>0</v>
      </c>
      <c r="AH112" s="37">
        <v>0</v>
      </c>
      <c r="AI112" s="345">
        <f t="shared" si="52"/>
        <v>0.3</v>
      </c>
      <c r="AJ112" s="345">
        <f t="shared" si="42"/>
        <v>0.05</v>
      </c>
      <c r="AK112" s="42" t="s">
        <v>83</v>
      </c>
      <c r="AL112" s="173" t="s">
        <v>75</v>
      </c>
      <c r="AM112" s="192" t="s">
        <v>72</v>
      </c>
      <c r="AN112" s="202" t="s">
        <v>89</v>
      </c>
      <c r="AO112" s="192" t="s">
        <v>72</v>
      </c>
      <c r="AP112" s="248"/>
      <c r="AQ112" s="248"/>
      <c r="AR112" s="264"/>
      <c r="AS112" s="248">
        <v>2.36</v>
      </c>
      <c r="AT112" s="248">
        <v>2.2989999999999999</v>
      </c>
      <c r="AU112" s="248"/>
      <c r="AV112" s="248"/>
      <c r="AW112" s="127">
        <f t="shared" si="44"/>
        <v>4.6589999999999998</v>
      </c>
      <c r="AX112" s="286"/>
      <c r="AY112" s="286">
        <v>6.0999999999999999E-2</v>
      </c>
      <c r="AZ112" s="279"/>
      <c r="BA112" s="129">
        <f t="shared" si="41"/>
        <v>4.72</v>
      </c>
      <c r="BB112" s="129">
        <f t="shared" si="43"/>
        <v>5.8999999999999997E-2</v>
      </c>
      <c r="BC112" s="40">
        <v>30</v>
      </c>
      <c r="BD112" s="54">
        <v>50</v>
      </c>
      <c r="BE112" s="40">
        <v>0</v>
      </c>
      <c r="BF112" s="40">
        <v>10</v>
      </c>
      <c r="BG112" s="40">
        <v>0</v>
      </c>
      <c r="BH112" s="40">
        <v>0</v>
      </c>
      <c r="BI112" s="31">
        <f t="shared" si="48"/>
        <v>80</v>
      </c>
      <c r="BJ112" s="31">
        <f t="shared" si="49"/>
        <v>10</v>
      </c>
      <c r="BK112" s="32">
        <f t="shared" si="50"/>
        <v>0</v>
      </c>
      <c r="BL112" s="362">
        <f t="shared" si="51"/>
        <v>90</v>
      </c>
      <c r="BM112" s="367"/>
      <c r="BN112" s="1"/>
      <c r="BO112" s="5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</row>
    <row r="113" spans="1:87" ht="13.5" customHeight="1">
      <c r="A113" s="324" t="s">
        <v>345</v>
      </c>
      <c r="B113" s="95" t="s">
        <v>346</v>
      </c>
      <c r="C113" s="63" t="s">
        <v>344</v>
      </c>
      <c r="D113" s="76" t="s">
        <v>108</v>
      </c>
      <c r="E113" s="76" t="s">
        <v>491</v>
      </c>
      <c r="F113" s="173" t="s">
        <v>70</v>
      </c>
      <c r="G113" s="173" t="s">
        <v>70</v>
      </c>
      <c r="H113" s="170" t="s">
        <v>75</v>
      </c>
      <c r="I113" s="194" t="s">
        <v>115</v>
      </c>
      <c r="J113" s="229">
        <v>49</v>
      </c>
      <c r="K113" s="219">
        <v>31</v>
      </c>
      <c r="L113" s="219">
        <v>16</v>
      </c>
      <c r="M113" s="219">
        <v>2</v>
      </c>
      <c r="N113" s="172">
        <f t="shared" si="45"/>
        <v>31</v>
      </c>
      <c r="O113" s="332"/>
      <c r="P113" s="332">
        <v>23</v>
      </c>
      <c r="Q113" s="332">
        <v>8</v>
      </c>
      <c r="R113" s="332"/>
      <c r="S113" s="332"/>
      <c r="T113" s="332"/>
      <c r="U113" s="172">
        <f t="shared" si="46"/>
        <v>14</v>
      </c>
      <c r="V113" s="332"/>
      <c r="W113" s="332">
        <v>12</v>
      </c>
      <c r="X113" s="332">
        <v>2</v>
      </c>
      <c r="Y113" s="332"/>
      <c r="Z113" s="332"/>
      <c r="AA113" s="332"/>
      <c r="AB113" s="172">
        <f t="shared" si="47"/>
        <v>4</v>
      </c>
      <c r="AC113" s="43"/>
      <c r="AD113" s="43">
        <v>4</v>
      </c>
      <c r="AE113" s="43"/>
      <c r="AF113" s="43"/>
      <c r="AG113" s="43"/>
      <c r="AH113" s="43"/>
      <c r="AI113" s="345">
        <f t="shared" si="52"/>
        <v>0.36734693877551022</v>
      </c>
      <c r="AJ113" s="345">
        <f t="shared" si="42"/>
        <v>8.1632653061224483E-2</v>
      </c>
      <c r="AK113" s="46" t="s">
        <v>73</v>
      </c>
      <c r="AL113" s="276" t="s">
        <v>75</v>
      </c>
      <c r="AM113" s="194" t="s">
        <v>115</v>
      </c>
      <c r="AN113" s="167" t="s">
        <v>84</v>
      </c>
      <c r="AO113" s="194" t="s">
        <v>82</v>
      </c>
      <c r="AP113" s="245">
        <v>0.78400000000000003</v>
      </c>
      <c r="AQ113" s="245"/>
      <c r="AR113" s="258"/>
      <c r="AS113" s="258">
        <v>1</v>
      </c>
      <c r="AT113" s="245">
        <v>2.0379999999999998</v>
      </c>
      <c r="AU113" s="178"/>
      <c r="AV113" s="175"/>
      <c r="AW113" s="127">
        <f t="shared" si="44"/>
        <v>3.8220000000000001</v>
      </c>
      <c r="AX113" s="178"/>
      <c r="AY113" s="178"/>
      <c r="AZ113" s="178"/>
      <c r="BA113" s="129">
        <f t="shared" si="41"/>
        <v>3.8220000000000001</v>
      </c>
      <c r="BB113" s="129">
        <f t="shared" si="43"/>
        <v>7.8E-2</v>
      </c>
      <c r="BC113" s="40">
        <v>30</v>
      </c>
      <c r="BD113" s="40">
        <v>50</v>
      </c>
      <c r="BE113" s="40">
        <v>50</v>
      </c>
      <c r="BF113" s="40">
        <v>30</v>
      </c>
      <c r="BG113" s="40">
        <v>0</v>
      </c>
      <c r="BH113" s="40">
        <v>0</v>
      </c>
      <c r="BI113" s="31">
        <f t="shared" si="48"/>
        <v>80</v>
      </c>
      <c r="BJ113" s="31">
        <f t="shared" si="49"/>
        <v>80</v>
      </c>
      <c r="BK113" s="32">
        <f t="shared" si="50"/>
        <v>0</v>
      </c>
      <c r="BL113" s="362">
        <f t="shared" si="51"/>
        <v>160</v>
      </c>
      <c r="BM113" s="367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</row>
    <row r="114" spans="1:87" ht="13.5" customHeight="1">
      <c r="A114" s="322" t="s">
        <v>347</v>
      </c>
      <c r="B114" s="398" t="s">
        <v>348</v>
      </c>
      <c r="C114" s="63" t="s">
        <v>344</v>
      </c>
      <c r="D114" s="76" t="s">
        <v>108</v>
      </c>
      <c r="E114" s="76" t="s">
        <v>491</v>
      </c>
      <c r="F114" s="173" t="s">
        <v>70</v>
      </c>
      <c r="G114" s="173" t="s">
        <v>70</v>
      </c>
      <c r="H114" s="170" t="s">
        <v>75</v>
      </c>
      <c r="I114" s="194" t="s">
        <v>104</v>
      </c>
      <c r="J114" s="229">
        <v>46</v>
      </c>
      <c r="K114" s="219">
        <v>31</v>
      </c>
      <c r="L114" s="219">
        <v>15</v>
      </c>
      <c r="M114" s="219">
        <v>0</v>
      </c>
      <c r="N114" s="172">
        <f t="shared" si="45"/>
        <v>31</v>
      </c>
      <c r="O114" s="332"/>
      <c r="P114" s="332">
        <v>23</v>
      </c>
      <c r="Q114" s="332">
        <v>8</v>
      </c>
      <c r="R114" s="332"/>
      <c r="S114" s="332"/>
      <c r="T114" s="332"/>
      <c r="U114" s="172">
        <f t="shared" si="46"/>
        <v>15</v>
      </c>
      <c r="V114" s="332"/>
      <c r="W114" s="332">
        <v>13</v>
      </c>
      <c r="X114" s="332">
        <v>2</v>
      </c>
      <c r="Y114" s="332"/>
      <c r="Z114" s="332"/>
      <c r="AA114" s="332"/>
      <c r="AB114" s="172">
        <f t="shared" si="47"/>
        <v>0</v>
      </c>
      <c r="AC114" s="43"/>
      <c r="AD114" s="43"/>
      <c r="AE114" s="43"/>
      <c r="AF114" s="43"/>
      <c r="AG114" s="43"/>
      <c r="AH114" s="43"/>
      <c r="AI114" s="345">
        <f t="shared" si="52"/>
        <v>0.32608695652173914</v>
      </c>
      <c r="AJ114" s="345">
        <f t="shared" si="42"/>
        <v>0</v>
      </c>
      <c r="AK114" s="46" t="s">
        <v>73</v>
      </c>
      <c r="AL114" s="185" t="s">
        <v>75</v>
      </c>
      <c r="AM114" s="194" t="s">
        <v>104</v>
      </c>
      <c r="AN114" s="169" t="s">
        <v>84</v>
      </c>
      <c r="AO114" s="194" t="s">
        <v>72</v>
      </c>
      <c r="AP114" s="244">
        <v>0.68799999999999994</v>
      </c>
      <c r="AQ114" s="244"/>
      <c r="AR114" s="244"/>
      <c r="AS114" s="248">
        <v>2.8079999999999998</v>
      </c>
      <c r="AT114" s="244"/>
      <c r="AU114" s="178"/>
      <c r="AV114" s="175"/>
      <c r="AW114" s="127">
        <f t="shared" si="44"/>
        <v>3.4959999999999996</v>
      </c>
      <c r="AX114" s="178"/>
      <c r="AY114" s="178"/>
      <c r="AZ114" s="178"/>
      <c r="BA114" s="129">
        <f t="shared" si="41"/>
        <v>3.4959999999999996</v>
      </c>
      <c r="BB114" s="129">
        <f t="shared" si="43"/>
        <v>7.5999999999999984E-2</v>
      </c>
      <c r="BC114" s="40">
        <v>30</v>
      </c>
      <c r="BD114" s="40">
        <v>50</v>
      </c>
      <c r="BE114" s="40">
        <v>50</v>
      </c>
      <c r="BF114" s="40">
        <v>30</v>
      </c>
      <c r="BG114" s="40">
        <v>0</v>
      </c>
      <c r="BH114" s="40">
        <v>0</v>
      </c>
      <c r="BI114" s="31">
        <f t="shared" si="48"/>
        <v>80</v>
      </c>
      <c r="BJ114" s="31">
        <f t="shared" si="49"/>
        <v>80</v>
      </c>
      <c r="BK114" s="32">
        <f t="shared" si="50"/>
        <v>0</v>
      </c>
      <c r="BL114" s="362">
        <f t="shared" si="51"/>
        <v>160</v>
      </c>
      <c r="BM114" s="376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</row>
    <row r="115" spans="1:87" ht="13.5" customHeight="1">
      <c r="A115" s="319" t="s">
        <v>349</v>
      </c>
      <c r="B115" s="628" t="s">
        <v>350</v>
      </c>
      <c r="C115" s="72" t="s">
        <v>351</v>
      </c>
      <c r="D115" s="90" t="s">
        <v>124</v>
      </c>
      <c r="E115" s="90" t="s">
        <v>489</v>
      </c>
      <c r="F115" s="193" t="s">
        <v>119</v>
      </c>
      <c r="G115" s="193" t="s">
        <v>81</v>
      </c>
      <c r="H115" s="170" t="s">
        <v>109</v>
      </c>
      <c r="I115" s="206" t="s">
        <v>169</v>
      </c>
      <c r="J115" s="218">
        <v>9</v>
      </c>
      <c r="K115" s="222">
        <v>7</v>
      </c>
      <c r="L115" s="222">
        <v>2</v>
      </c>
      <c r="M115" s="222">
        <v>0</v>
      </c>
      <c r="N115" s="172">
        <f t="shared" si="45"/>
        <v>7</v>
      </c>
      <c r="O115" s="332">
        <v>2</v>
      </c>
      <c r="P115" s="332">
        <v>3</v>
      </c>
      <c r="Q115" s="332">
        <v>2</v>
      </c>
      <c r="R115" s="332">
        <v>0</v>
      </c>
      <c r="S115" s="332">
        <v>0</v>
      </c>
      <c r="T115" s="332">
        <v>0</v>
      </c>
      <c r="U115" s="172">
        <f t="shared" si="46"/>
        <v>2</v>
      </c>
      <c r="V115" s="332">
        <v>2</v>
      </c>
      <c r="W115" s="332">
        <v>0</v>
      </c>
      <c r="X115" s="332">
        <v>0</v>
      </c>
      <c r="Y115" s="332">
        <v>0</v>
      </c>
      <c r="Z115" s="332">
        <v>0</v>
      </c>
      <c r="AA115" s="332">
        <v>0</v>
      </c>
      <c r="AB115" s="172">
        <f t="shared" si="47"/>
        <v>0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45">
        <f t="shared" si="52"/>
        <v>0.22222222222222221</v>
      </c>
      <c r="AJ115" s="345">
        <f t="shared" si="42"/>
        <v>0</v>
      </c>
      <c r="AK115" s="72" t="s">
        <v>83</v>
      </c>
      <c r="AL115" s="169" t="s">
        <v>109</v>
      </c>
      <c r="AM115" s="193" t="s">
        <v>82</v>
      </c>
      <c r="AN115" s="169" t="s">
        <v>109</v>
      </c>
      <c r="AO115" s="193" t="s">
        <v>82</v>
      </c>
      <c r="AP115" s="248">
        <v>0</v>
      </c>
      <c r="AQ115" s="248">
        <v>0.53100000000000003</v>
      </c>
      <c r="AR115" s="248"/>
      <c r="AS115" s="248"/>
      <c r="AT115" s="248"/>
      <c r="AU115" s="248"/>
      <c r="AV115" s="248"/>
      <c r="AW115" s="127">
        <f t="shared" si="44"/>
        <v>0.53100000000000003</v>
      </c>
      <c r="AX115" s="286"/>
      <c r="AY115" s="286"/>
      <c r="AZ115" s="279"/>
      <c r="BA115" s="129">
        <f t="shared" si="41"/>
        <v>0.53100000000000003</v>
      </c>
      <c r="BB115" s="129">
        <f t="shared" si="43"/>
        <v>5.9000000000000004E-2</v>
      </c>
      <c r="BC115" s="54">
        <v>50</v>
      </c>
      <c r="BD115" s="54">
        <v>25</v>
      </c>
      <c r="BE115" s="40">
        <v>0</v>
      </c>
      <c r="BF115" s="40">
        <v>70</v>
      </c>
      <c r="BG115" s="40">
        <v>0</v>
      </c>
      <c r="BH115" s="40">
        <v>0</v>
      </c>
      <c r="BI115" s="31">
        <f t="shared" si="48"/>
        <v>75</v>
      </c>
      <c r="BJ115" s="31">
        <f t="shared" si="49"/>
        <v>70</v>
      </c>
      <c r="BK115" s="32">
        <f t="shared" si="50"/>
        <v>0</v>
      </c>
      <c r="BL115" s="362">
        <f t="shared" si="51"/>
        <v>145</v>
      </c>
      <c r="BM115" s="377"/>
      <c r="BN115" s="8"/>
      <c r="BO115" s="8"/>
      <c r="BP115" s="8"/>
      <c r="BQ115" s="8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</row>
    <row r="116" spans="1:87" ht="12.75" customHeight="1">
      <c r="A116" s="319" t="s">
        <v>352</v>
      </c>
      <c r="B116" s="314" t="s">
        <v>353</v>
      </c>
      <c r="C116" s="72" t="s">
        <v>351</v>
      </c>
      <c r="D116" s="90" t="s">
        <v>124</v>
      </c>
      <c r="E116" s="90" t="s">
        <v>489</v>
      </c>
      <c r="F116" s="195" t="s">
        <v>135</v>
      </c>
      <c r="G116" s="195" t="s">
        <v>135</v>
      </c>
      <c r="H116" s="185" t="s">
        <v>114</v>
      </c>
      <c r="I116" s="193" t="s">
        <v>97</v>
      </c>
      <c r="J116" s="229">
        <v>20</v>
      </c>
      <c r="K116" s="219">
        <v>20</v>
      </c>
      <c r="L116" s="219">
        <v>0</v>
      </c>
      <c r="M116" s="219">
        <v>0</v>
      </c>
      <c r="N116" s="172">
        <f t="shared" si="45"/>
        <v>20</v>
      </c>
      <c r="O116" s="332"/>
      <c r="P116" s="332">
        <v>20</v>
      </c>
      <c r="Q116" s="332"/>
      <c r="R116" s="332"/>
      <c r="S116" s="332"/>
      <c r="T116" s="332"/>
      <c r="U116" s="172">
        <f t="shared" si="46"/>
        <v>0</v>
      </c>
      <c r="V116" s="332"/>
      <c r="W116" s="332"/>
      <c r="X116" s="332"/>
      <c r="Y116" s="332"/>
      <c r="Z116" s="332"/>
      <c r="AA116" s="332"/>
      <c r="AB116" s="172">
        <f t="shared" si="47"/>
        <v>0</v>
      </c>
      <c r="AC116" s="43"/>
      <c r="AD116" s="43"/>
      <c r="AE116" s="43"/>
      <c r="AF116" s="43"/>
      <c r="AG116" s="43"/>
      <c r="AH116" s="43"/>
      <c r="AI116" s="345">
        <f t="shared" si="52"/>
        <v>0</v>
      </c>
      <c r="AJ116" s="345">
        <f t="shared" si="42"/>
        <v>0</v>
      </c>
      <c r="AK116" s="48" t="s">
        <v>136</v>
      </c>
      <c r="AL116" s="185" t="s">
        <v>114</v>
      </c>
      <c r="AM116" s="193" t="s">
        <v>97</v>
      </c>
      <c r="AN116" s="169" t="s">
        <v>71</v>
      </c>
      <c r="AO116" s="193" t="s">
        <v>104</v>
      </c>
      <c r="AP116" s="251">
        <v>0.2</v>
      </c>
      <c r="AQ116" s="271">
        <v>0.76</v>
      </c>
      <c r="AR116" s="279"/>
      <c r="AS116" s="475"/>
      <c r="AT116" s="279"/>
      <c r="AU116" s="279"/>
      <c r="AV116" s="175"/>
      <c r="AW116" s="127">
        <f t="shared" si="44"/>
        <v>0.96</v>
      </c>
      <c r="AX116" s="279"/>
      <c r="AY116" s="279"/>
      <c r="AZ116" s="279"/>
      <c r="BA116" s="129">
        <f t="shared" si="41"/>
        <v>0.96</v>
      </c>
      <c r="BB116" s="129">
        <f t="shared" si="43"/>
        <v>4.8000000000000001E-2</v>
      </c>
      <c r="BC116" s="40">
        <v>50</v>
      </c>
      <c r="BD116" s="40">
        <v>25</v>
      </c>
      <c r="BE116" s="40">
        <v>0</v>
      </c>
      <c r="BF116" s="40">
        <v>70</v>
      </c>
      <c r="BG116" s="40">
        <v>0</v>
      </c>
      <c r="BH116" s="40">
        <v>0</v>
      </c>
      <c r="BI116" s="85">
        <f t="shared" si="48"/>
        <v>75</v>
      </c>
      <c r="BJ116" s="85">
        <f t="shared" si="49"/>
        <v>70</v>
      </c>
      <c r="BK116" s="32">
        <f t="shared" si="50"/>
        <v>0</v>
      </c>
      <c r="BL116" s="362">
        <f t="shared" si="51"/>
        <v>145</v>
      </c>
      <c r="BM116" s="376"/>
      <c r="BN116" s="8"/>
      <c r="BO116" s="8"/>
      <c r="BP116" s="8"/>
      <c r="BQ116" s="8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</row>
    <row r="117" spans="1:87" ht="12.75" customHeight="1">
      <c r="A117" s="318" t="s">
        <v>357</v>
      </c>
      <c r="B117" s="624" t="s">
        <v>358</v>
      </c>
      <c r="C117" s="48" t="s">
        <v>356</v>
      </c>
      <c r="D117" s="48" t="s">
        <v>102</v>
      </c>
      <c r="E117" s="48" t="s">
        <v>488</v>
      </c>
      <c r="F117" s="195" t="s">
        <v>81</v>
      </c>
      <c r="G117" s="195" t="s">
        <v>81</v>
      </c>
      <c r="H117" s="200" t="s">
        <v>71</v>
      </c>
      <c r="I117" s="194" t="s">
        <v>104</v>
      </c>
      <c r="J117" s="224">
        <v>10</v>
      </c>
      <c r="K117" s="223">
        <v>0</v>
      </c>
      <c r="L117" s="223">
        <v>5</v>
      </c>
      <c r="M117" s="223">
        <v>5</v>
      </c>
      <c r="N117" s="172">
        <f t="shared" si="45"/>
        <v>0</v>
      </c>
      <c r="O117" s="332">
        <v>0</v>
      </c>
      <c r="P117" s="332">
        <v>0</v>
      </c>
      <c r="Q117" s="332">
        <v>0</v>
      </c>
      <c r="R117" s="332">
        <v>0</v>
      </c>
      <c r="S117" s="332">
        <v>0</v>
      </c>
      <c r="T117" s="332">
        <v>0</v>
      </c>
      <c r="U117" s="172">
        <f t="shared" si="46"/>
        <v>5</v>
      </c>
      <c r="V117" s="332">
        <v>0</v>
      </c>
      <c r="W117" s="332">
        <v>5</v>
      </c>
      <c r="X117" s="332">
        <v>0</v>
      </c>
      <c r="Y117" s="332">
        <v>0</v>
      </c>
      <c r="Z117" s="332">
        <v>0</v>
      </c>
      <c r="AA117" s="332">
        <v>0</v>
      </c>
      <c r="AB117" s="172">
        <f t="shared" si="47"/>
        <v>5</v>
      </c>
      <c r="AC117" s="43">
        <v>0</v>
      </c>
      <c r="AD117" s="43">
        <v>5</v>
      </c>
      <c r="AE117" s="43">
        <v>0</v>
      </c>
      <c r="AF117" s="43">
        <v>0</v>
      </c>
      <c r="AG117" s="43">
        <v>0</v>
      </c>
      <c r="AH117" s="43">
        <v>0</v>
      </c>
      <c r="AI117" s="345">
        <f>(U117+AB117)/J117</f>
        <v>1</v>
      </c>
      <c r="AJ117" s="346">
        <f t="shared" si="42"/>
        <v>0.5</v>
      </c>
      <c r="AK117" s="46" t="s">
        <v>73</v>
      </c>
      <c r="AL117" s="200" t="s">
        <v>71</v>
      </c>
      <c r="AM117" s="200" t="s">
        <v>104</v>
      </c>
      <c r="AN117" s="200" t="s">
        <v>71</v>
      </c>
      <c r="AO117" s="169" t="s">
        <v>97</v>
      </c>
      <c r="AP117" s="273"/>
      <c r="AQ117" s="273"/>
      <c r="AR117" s="273">
        <v>0.59</v>
      </c>
      <c r="AS117" s="248"/>
      <c r="AT117" s="248"/>
      <c r="AU117" s="272"/>
      <c r="AV117" s="272"/>
      <c r="AW117" s="127">
        <f t="shared" si="44"/>
        <v>0.59</v>
      </c>
      <c r="AX117" s="298"/>
      <c r="AY117" s="298"/>
      <c r="AZ117" s="176"/>
      <c r="BA117" s="129">
        <f t="shared" si="41"/>
        <v>0.59</v>
      </c>
      <c r="BB117" s="129">
        <f t="shared" si="43"/>
        <v>5.8999999999999997E-2</v>
      </c>
      <c r="BC117" s="54">
        <v>40</v>
      </c>
      <c r="BD117" s="54">
        <v>25</v>
      </c>
      <c r="BE117" s="54">
        <v>50</v>
      </c>
      <c r="BF117" s="54">
        <v>30</v>
      </c>
      <c r="BG117" s="54">
        <v>0</v>
      </c>
      <c r="BH117" s="53">
        <v>0</v>
      </c>
      <c r="BI117" s="31">
        <f t="shared" si="48"/>
        <v>65</v>
      </c>
      <c r="BJ117" s="31">
        <f t="shared" si="49"/>
        <v>80</v>
      </c>
      <c r="BK117" s="32">
        <f t="shared" si="50"/>
        <v>0</v>
      </c>
      <c r="BL117" s="362">
        <f t="shared" si="51"/>
        <v>145</v>
      </c>
      <c r="BM117" s="366"/>
      <c r="BN117" s="8"/>
      <c r="BO117" s="8"/>
      <c r="BP117" s="8"/>
      <c r="BQ117" s="8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</row>
    <row r="118" spans="1:87" ht="13.5" customHeight="1">
      <c r="A118" s="318" t="s">
        <v>354</v>
      </c>
      <c r="B118" s="122" t="s">
        <v>355</v>
      </c>
      <c r="C118" s="66" t="s">
        <v>356</v>
      </c>
      <c r="D118" s="45" t="s">
        <v>102</v>
      </c>
      <c r="E118" s="48" t="s">
        <v>488</v>
      </c>
      <c r="F118" s="171" t="s">
        <v>70</v>
      </c>
      <c r="G118" s="171" t="s">
        <v>145</v>
      </c>
      <c r="H118" s="194" t="s">
        <v>109</v>
      </c>
      <c r="I118" s="188" t="s">
        <v>82</v>
      </c>
      <c r="J118" s="229">
        <v>34</v>
      </c>
      <c r="K118" s="226">
        <v>34</v>
      </c>
      <c r="L118" s="226"/>
      <c r="M118" s="216"/>
      <c r="N118" s="172">
        <f t="shared" si="45"/>
        <v>34</v>
      </c>
      <c r="O118" s="332"/>
      <c r="P118" s="332">
        <v>17</v>
      </c>
      <c r="Q118" s="332">
        <v>17</v>
      </c>
      <c r="R118" s="332"/>
      <c r="S118" s="332"/>
      <c r="T118" s="332"/>
      <c r="U118" s="172">
        <f t="shared" si="46"/>
        <v>0</v>
      </c>
      <c r="V118" s="332"/>
      <c r="W118" s="332"/>
      <c r="X118" s="332"/>
      <c r="Y118" s="332"/>
      <c r="Z118" s="332"/>
      <c r="AA118" s="332"/>
      <c r="AB118" s="172">
        <f t="shared" si="47"/>
        <v>0</v>
      </c>
      <c r="AC118" s="26"/>
      <c r="AD118" s="26"/>
      <c r="AE118" s="26"/>
      <c r="AF118" s="26"/>
      <c r="AG118" s="26"/>
      <c r="AH118" s="26"/>
      <c r="AI118" s="345">
        <f>(L118+M118)/J118</f>
        <v>0</v>
      </c>
      <c r="AJ118" s="346">
        <f t="shared" si="42"/>
        <v>0</v>
      </c>
      <c r="AK118" s="46" t="s">
        <v>73</v>
      </c>
      <c r="AL118" s="169" t="s">
        <v>109</v>
      </c>
      <c r="AM118" s="243" t="s">
        <v>125</v>
      </c>
      <c r="AN118" s="169" t="s">
        <v>75</v>
      </c>
      <c r="AO118" s="243" t="s">
        <v>104</v>
      </c>
      <c r="AP118" s="249"/>
      <c r="AQ118" s="249">
        <v>0.1</v>
      </c>
      <c r="AR118" s="249">
        <v>2.484</v>
      </c>
      <c r="AS118" s="244"/>
      <c r="AT118" s="244"/>
      <c r="AU118" s="259"/>
      <c r="AV118" s="246"/>
      <c r="AW118" s="127">
        <f t="shared" si="44"/>
        <v>2.5840000000000001</v>
      </c>
      <c r="AX118" s="289"/>
      <c r="AY118" s="289"/>
      <c r="AZ118" s="292"/>
      <c r="BA118" s="129">
        <f t="shared" si="41"/>
        <v>2.5840000000000001</v>
      </c>
      <c r="BB118" s="129">
        <f t="shared" si="43"/>
        <v>7.5999999999999998E-2</v>
      </c>
      <c r="BC118" s="54">
        <v>40</v>
      </c>
      <c r="BD118" s="54">
        <v>25</v>
      </c>
      <c r="BE118" s="54">
        <v>0</v>
      </c>
      <c r="BF118" s="54">
        <v>30</v>
      </c>
      <c r="BG118" s="65">
        <v>0</v>
      </c>
      <c r="BH118" s="54">
        <v>0</v>
      </c>
      <c r="BI118" s="31">
        <f t="shared" si="48"/>
        <v>65</v>
      </c>
      <c r="BJ118" s="31">
        <f t="shared" si="49"/>
        <v>30</v>
      </c>
      <c r="BK118" s="32">
        <f t="shared" si="50"/>
        <v>0</v>
      </c>
      <c r="BL118" s="362">
        <f t="shared" si="51"/>
        <v>95</v>
      </c>
      <c r="BM118" s="366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</row>
    <row r="119" spans="1:87" ht="12.75" customHeight="1">
      <c r="A119" s="318" t="s">
        <v>359</v>
      </c>
      <c r="B119" s="629" t="s">
        <v>360</v>
      </c>
      <c r="C119" s="52" t="s">
        <v>356</v>
      </c>
      <c r="D119" s="48" t="s">
        <v>102</v>
      </c>
      <c r="E119" s="48" t="s">
        <v>488</v>
      </c>
      <c r="F119" s="195" t="s">
        <v>81</v>
      </c>
      <c r="G119" s="195" t="s">
        <v>81</v>
      </c>
      <c r="H119" s="200" t="s">
        <v>71</v>
      </c>
      <c r="I119" s="193" t="s">
        <v>97</v>
      </c>
      <c r="J119" s="218">
        <v>40</v>
      </c>
      <c r="K119" s="222">
        <v>28</v>
      </c>
      <c r="L119" s="222">
        <v>10</v>
      </c>
      <c r="M119" s="216">
        <v>2</v>
      </c>
      <c r="N119" s="172">
        <v>0</v>
      </c>
      <c r="O119" s="332">
        <v>0</v>
      </c>
      <c r="P119" s="332">
        <v>13</v>
      </c>
      <c r="Q119" s="332">
        <v>12</v>
      </c>
      <c r="R119" s="332">
        <v>3</v>
      </c>
      <c r="S119" s="332">
        <v>0</v>
      </c>
      <c r="T119" s="332">
        <v>0</v>
      </c>
      <c r="U119" s="172">
        <v>36</v>
      </c>
      <c r="V119" s="332">
        <v>0</v>
      </c>
      <c r="W119" s="332">
        <v>9</v>
      </c>
      <c r="X119" s="332">
        <v>0</v>
      </c>
      <c r="Y119" s="332">
        <v>0</v>
      </c>
      <c r="Z119" s="332">
        <v>1</v>
      </c>
      <c r="AA119" s="332">
        <v>0</v>
      </c>
      <c r="AB119" s="172">
        <v>4</v>
      </c>
      <c r="AC119" s="37">
        <v>0</v>
      </c>
      <c r="AD119" s="37">
        <v>1</v>
      </c>
      <c r="AE119" s="37">
        <v>1</v>
      </c>
      <c r="AF119" s="37">
        <v>0</v>
      </c>
      <c r="AG119" s="37">
        <v>0</v>
      </c>
      <c r="AH119" s="37">
        <v>0</v>
      </c>
      <c r="AI119" s="345">
        <f>(U119+AB119)/J119</f>
        <v>1</v>
      </c>
      <c r="AJ119" s="346">
        <f t="shared" si="42"/>
        <v>0.1</v>
      </c>
      <c r="AK119" s="46" t="s">
        <v>73</v>
      </c>
      <c r="AL119" s="200" t="s">
        <v>71</v>
      </c>
      <c r="AM119" s="266" t="s">
        <v>97</v>
      </c>
      <c r="AN119" s="200" t="s">
        <v>84</v>
      </c>
      <c r="AO119" s="266" t="s">
        <v>125</v>
      </c>
      <c r="AP119" s="248">
        <v>6.5000000000000002E-2</v>
      </c>
      <c r="AQ119" s="248"/>
      <c r="AR119" s="249"/>
      <c r="AS119" s="249">
        <v>1.2949999999999999</v>
      </c>
      <c r="AT119" s="249">
        <v>1.8</v>
      </c>
      <c r="AU119" s="248"/>
      <c r="AV119" s="248"/>
      <c r="AW119" s="127">
        <f t="shared" si="44"/>
        <v>3.16</v>
      </c>
      <c r="AX119" s="286"/>
      <c r="AY119" s="286"/>
      <c r="AZ119" s="176"/>
      <c r="BA119" s="129">
        <f t="shared" si="41"/>
        <v>3.16</v>
      </c>
      <c r="BB119" s="129">
        <f t="shared" si="43"/>
        <v>7.9000000000000001E-2</v>
      </c>
      <c r="BC119" s="54">
        <v>40</v>
      </c>
      <c r="BD119" s="54">
        <v>25</v>
      </c>
      <c r="BE119" s="54">
        <v>50</v>
      </c>
      <c r="BF119" s="54">
        <v>70</v>
      </c>
      <c r="BG119" s="54">
        <v>20</v>
      </c>
      <c r="BH119" s="54">
        <v>20</v>
      </c>
      <c r="BI119" s="31">
        <f t="shared" si="48"/>
        <v>65</v>
      </c>
      <c r="BJ119" s="31">
        <f t="shared" si="49"/>
        <v>120</v>
      </c>
      <c r="BK119" s="32">
        <f t="shared" si="50"/>
        <v>40</v>
      </c>
      <c r="BL119" s="362">
        <f t="shared" si="51"/>
        <v>225</v>
      </c>
      <c r="BM119" s="365"/>
      <c r="BN119" s="1"/>
      <c r="BO119" s="1"/>
      <c r="BP119" s="1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</row>
    <row r="120" spans="1:87" ht="13.5" customHeight="1">
      <c r="A120" s="318" t="s">
        <v>361</v>
      </c>
      <c r="B120" s="311" t="s">
        <v>362</v>
      </c>
      <c r="C120" s="78" t="s">
        <v>363</v>
      </c>
      <c r="D120" s="58" t="s">
        <v>80</v>
      </c>
      <c r="E120" s="58" t="s">
        <v>491</v>
      </c>
      <c r="F120" s="173" t="s">
        <v>70</v>
      </c>
      <c r="G120" s="173" t="s">
        <v>70</v>
      </c>
      <c r="H120" s="170" t="s">
        <v>75</v>
      </c>
      <c r="I120" s="190" t="s">
        <v>82</v>
      </c>
      <c r="J120" s="229">
        <v>14</v>
      </c>
      <c r="K120" s="216">
        <v>6</v>
      </c>
      <c r="L120" s="216">
        <v>8</v>
      </c>
      <c r="M120" s="216">
        <v>0</v>
      </c>
      <c r="N120" s="172">
        <f>SUM(O120:T120)</f>
        <v>8</v>
      </c>
      <c r="O120" s="331"/>
      <c r="P120" s="331">
        <v>6</v>
      </c>
      <c r="Q120" s="331">
        <v>2</v>
      </c>
      <c r="R120" s="331"/>
      <c r="S120" s="331"/>
      <c r="T120" s="331"/>
      <c r="U120" s="172">
        <f t="shared" si="46"/>
        <v>6</v>
      </c>
      <c r="V120" s="331"/>
      <c r="W120" s="331">
        <v>5</v>
      </c>
      <c r="X120" s="331"/>
      <c r="Y120" s="331">
        <v>1</v>
      </c>
      <c r="Z120" s="331"/>
      <c r="AA120" s="331"/>
      <c r="AB120" s="172">
        <f t="shared" si="47"/>
        <v>0</v>
      </c>
      <c r="AC120" s="26"/>
      <c r="AD120" s="26"/>
      <c r="AE120" s="26"/>
      <c r="AF120" s="26"/>
      <c r="AG120" s="26"/>
      <c r="AH120" s="26"/>
      <c r="AI120" s="345">
        <f>(L120+M120)/J120</f>
        <v>0.5714285714285714</v>
      </c>
      <c r="AJ120" s="346">
        <f t="shared" si="42"/>
        <v>0</v>
      </c>
      <c r="AK120" s="46" t="s">
        <v>73</v>
      </c>
      <c r="AL120" s="169" t="s">
        <v>75</v>
      </c>
      <c r="AM120" s="208" t="s">
        <v>82</v>
      </c>
      <c r="AN120" s="169" t="s">
        <v>84</v>
      </c>
      <c r="AO120" s="208" t="s">
        <v>125</v>
      </c>
      <c r="AP120" s="253"/>
      <c r="AQ120" s="248"/>
      <c r="AR120" s="248"/>
      <c r="AS120" s="248">
        <v>1.1000000000000001</v>
      </c>
      <c r="AT120" s="257"/>
      <c r="AU120" s="257"/>
      <c r="AV120" s="246"/>
      <c r="AW120" s="127">
        <f t="shared" si="44"/>
        <v>1.1000000000000001</v>
      </c>
      <c r="AX120" s="289"/>
      <c r="AY120" s="289"/>
      <c r="AZ120" s="292"/>
      <c r="BA120" s="129">
        <f t="shared" si="41"/>
        <v>1.1000000000000001</v>
      </c>
      <c r="BB120" s="129">
        <f t="shared" si="43"/>
        <v>7.8571428571428584E-2</v>
      </c>
      <c r="BC120" s="54">
        <v>30</v>
      </c>
      <c r="BD120" s="54">
        <v>30</v>
      </c>
      <c r="BE120" s="54">
        <v>0</v>
      </c>
      <c r="BF120" s="54">
        <v>30</v>
      </c>
      <c r="BG120" s="54">
        <v>0</v>
      </c>
      <c r="BH120" s="54">
        <v>0</v>
      </c>
      <c r="BI120" s="31">
        <f t="shared" si="48"/>
        <v>60</v>
      </c>
      <c r="BJ120" s="31">
        <f t="shared" si="49"/>
        <v>30</v>
      </c>
      <c r="BK120" s="32">
        <f t="shared" si="50"/>
        <v>0</v>
      </c>
      <c r="BL120" s="362">
        <f t="shared" si="51"/>
        <v>90</v>
      </c>
      <c r="BM120" s="366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</row>
    <row r="121" spans="1:87" ht="12.75">
      <c r="A121" s="318" t="s">
        <v>516</v>
      </c>
      <c r="B121" s="612" t="s">
        <v>364</v>
      </c>
      <c r="C121" s="81" t="s">
        <v>365</v>
      </c>
      <c r="D121" s="58" t="s">
        <v>102</v>
      </c>
      <c r="E121" s="58" t="s">
        <v>488</v>
      </c>
      <c r="F121" s="169" t="s">
        <v>119</v>
      </c>
      <c r="G121" s="169" t="s">
        <v>81</v>
      </c>
      <c r="H121" s="492" t="s">
        <v>109</v>
      </c>
      <c r="I121" s="166" t="s">
        <v>72</v>
      </c>
      <c r="J121" s="221">
        <v>49</v>
      </c>
      <c r="K121" s="216">
        <v>35</v>
      </c>
      <c r="L121" s="216">
        <v>12</v>
      </c>
      <c r="M121" s="216">
        <v>2</v>
      </c>
      <c r="N121" s="172">
        <f>SUM(O121:T121)</f>
        <v>35</v>
      </c>
      <c r="O121" s="331">
        <v>0</v>
      </c>
      <c r="P121" s="331">
        <v>16</v>
      </c>
      <c r="Q121" s="331">
        <v>16</v>
      </c>
      <c r="R121" s="331">
        <v>3</v>
      </c>
      <c r="S121" s="331">
        <v>0</v>
      </c>
      <c r="T121" s="331">
        <v>0</v>
      </c>
      <c r="U121" s="172">
        <f t="shared" si="46"/>
        <v>12</v>
      </c>
      <c r="V121" s="331">
        <v>0</v>
      </c>
      <c r="W121" s="331">
        <v>11</v>
      </c>
      <c r="X121" s="331">
        <v>0</v>
      </c>
      <c r="Y121" s="331">
        <v>0</v>
      </c>
      <c r="Z121" s="331">
        <v>1</v>
      </c>
      <c r="AA121" s="331">
        <v>0</v>
      </c>
      <c r="AB121" s="172">
        <f t="shared" si="47"/>
        <v>2</v>
      </c>
      <c r="AC121" s="26">
        <v>0</v>
      </c>
      <c r="AD121" s="26">
        <v>2</v>
      </c>
      <c r="AE121" s="26">
        <v>0</v>
      </c>
      <c r="AF121" s="26">
        <v>0</v>
      </c>
      <c r="AG121" s="26">
        <v>0</v>
      </c>
      <c r="AH121" s="26">
        <v>0</v>
      </c>
      <c r="AI121" s="345">
        <f>(U121+AB121)/J121</f>
        <v>0.2857142857142857</v>
      </c>
      <c r="AJ121" s="346">
        <f t="shared" si="42"/>
        <v>4.0816326530612242E-2</v>
      </c>
      <c r="AK121" s="34" t="s">
        <v>73</v>
      </c>
      <c r="AL121" s="167" t="s">
        <v>109</v>
      </c>
      <c r="AM121" s="166" t="s">
        <v>90</v>
      </c>
      <c r="AN121" s="167" t="s">
        <v>75</v>
      </c>
      <c r="AO121" s="166" t="s">
        <v>72</v>
      </c>
      <c r="AP121" s="174"/>
      <c r="AQ121" s="271">
        <v>0.9</v>
      </c>
      <c r="AR121" s="271">
        <v>1</v>
      </c>
      <c r="AS121" s="271">
        <v>0.99099999999999999</v>
      </c>
      <c r="AT121" s="259"/>
      <c r="AU121" s="275"/>
      <c r="AV121" s="246"/>
      <c r="AW121" s="127">
        <f t="shared" si="44"/>
        <v>2.891</v>
      </c>
      <c r="AX121" s="295"/>
      <c r="AY121" s="296"/>
      <c r="AZ121" s="297"/>
      <c r="BA121" s="302">
        <f t="shared" si="41"/>
        <v>2.891</v>
      </c>
      <c r="BB121" s="129">
        <f t="shared" si="43"/>
        <v>5.8999999999999997E-2</v>
      </c>
      <c r="BC121" s="54">
        <v>40</v>
      </c>
      <c r="BD121" s="54">
        <v>25</v>
      </c>
      <c r="BE121" s="54">
        <v>0</v>
      </c>
      <c r="BF121" s="54">
        <v>30</v>
      </c>
      <c r="BG121" s="85">
        <v>0</v>
      </c>
      <c r="BH121" s="85">
        <v>0</v>
      </c>
      <c r="BI121" s="31">
        <f t="shared" si="48"/>
        <v>65</v>
      </c>
      <c r="BJ121" s="31">
        <f t="shared" si="49"/>
        <v>30</v>
      </c>
      <c r="BK121" s="32">
        <f t="shared" si="50"/>
        <v>0</v>
      </c>
      <c r="BL121" s="362">
        <f t="shared" si="51"/>
        <v>95</v>
      </c>
      <c r="BM121" s="324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</row>
    <row r="122" spans="1:87" s="182" customFormat="1" ht="12.75" customHeight="1">
      <c r="A122" s="318" t="s">
        <v>515</v>
      </c>
      <c r="B122" s="630" t="s">
        <v>368</v>
      </c>
      <c r="C122" s="81" t="s">
        <v>367</v>
      </c>
      <c r="D122" s="41" t="s">
        <v>157</v>
      </c>
      <c r="E122" s="41" t="s">
        <v>489</v>
      </c>
      <c r="F122" s="171" t="s">
        <v>119</v>
      </c>
      <c r="G122" s="171" t="s">
        <v>81</v>
      </c>
      <c r="H122" s="165" t="s">
        <v>75</v>
      </c>
      <c r="I122" s="166" t="s">
        <v>104</v>
      </c>
      <c r="J122" s="230">
        <v>25</v>
      </c>
      <c r="K122" s="225">
        <v>18</v>
      </c>
      <c r="L122" s="225">
        <v>6</v>
      </c>
      <c r="M122" s="219">
        <v>1</v>
      </c>
      <c r="N122" s="172">
        <f>SUM(O122:T122)</f>
        <v>18</v>
      </c>
      <c r="O122" s="332">
        <v>0</v>
      </c>
      <c r="P122" s="332">
        <v>8</v>
      </c>
      <c r="Q122" s="332">
        <v>8</v>
      </c>
      <c r="R122" s="332">
        <v>2</v>
      </c>
      <c r="S122" s="332">
        <v>0</v>
      </c>
      <c r="T122" s="332">
        <v>0</v>
      </c>
      <c r="U122" s="172">
        <f t="shared" si="46"/>
        <v>6</v>
      </c>
      <c r="V122" s="332">
        <v>0</v>
      </c>
      <c r="W122" s="332">
        <v>6</v>
      </c>
      <c r="X122" s="332">
        <v>0</v>
      </c>
      <c r="Y122" s="332">
        <v>0</v>
      </c>
      <c r="Z122" s="332">
        <v>0</v>
      </c>
      <c r="AA122" s="332">
        <v>0</v>
      </c>
      <c r="AB122" s="172">
        <f t="shared" si="47"/>
        <v>1</v>
      </c>
      <c r="AC122" s="43">
        <v>0</v>
      </c>
      <c r="AD122" s="43">
        <v>1</v>
      </c>
      <c r="AE122" s="43">
        <v>0</v>
      </c>
      <c r="AF122" s="43">
        <v>0</v>
      </c>
      <c r="AG122" s="43">
        <v>0</v>
      </c>
      <c r="AH122" s="43">
        <v>0</v>
      </c>
      <c r="AI122" s="345">
        <f>(U122+AB122)/J122</f>
        <v>0.28000000000000003</v>
      </c>
      <c r="AJ122" s="346">
        <f t="shared" si="42"/>
        <v>0.04</v>
      </c>
      <c r="AK122" s="63" t="s">
        <v>73</v>
      </c>
      <c r="AL122" s="167" t="s">
        <v>75</v>
      </c>
      <c r="AM122" s="247" t="s">
        <v>104</v>
      </c>
      <c r="AN122" s="167" t="s">
        <v>75</v>
      </c>
      <c r="AO122" s="247" t="s">
        <v>97</v>
      </c>
      <c r="AP122" s="272"/>
      <c r="AQ122" s="272"/>
      <c r="AR122" s="272"/>
      <c r="AS122" s="271">
        <v>1.4750000000000001</v>
      </c>
      <c r="AT122" s="272"/>
      <c r="AU122" s="272"/>
      <c r="AV122" s="272"/>
      <c r="AW122" s="127">
        <f t="shared" si="44"/>
        <v>1.4750000000000001</v>
      </c>
      <c r="AX122" s="298"/>
      <c r="AY122" s="298"/>
      <c r="AZ122" s="176"/>
      <c r="BA122" s="302">
        <f t="shared" si="41"/>
        <v>1.4750000000000001</v>
      </c>
      <c r="BB122" s="129">
        <f t="shared" si="43"/>
        <v>5.9000000000000004E-2</v>
      </c>
      <c r="BC122" s="54">
        <v>50</v>
      </c>
      <c r="BD122" s="54">
        <v>45</v>
      </c>
      <c r="BE122" s="54">
        <v>10</v>
      </c>
      <c r="BF122" s="54">
        <v>10</v>
      </c>
      <c r="BG122" s="54">
        <v>0</v>
      </c>
      <c r="BH122" s="54">
        <v>0</v>
      </c>
      <c r="BI122" s="85">
        <f t="shared" si="48"/>
        <v>95</v>
      </c>
      <c r="BJ122" s="85">
        <f t="shared" si="49"/>
        <v>20</v>
      </c>
      <c r="BK122" s="32">
        <f t="shared" si="50"/>
        <v>0</v>
      </c>
      <c r="BL122" s="362">
        <f t="shared" si="51"/>
        <v>115</v>
      </c>
      <c r="BM122" s="324"/>
      <c r="BN122" s="181"/>
      <c r="BO122" s="181"/>
      <c r="BP122" s="181"/>
      <c r="BQ122" s="181"/>
      <c r="BR122" s="181"/>
      <c r="BS122" s="181"/>
      <c r="BT122" s="181"/>
      <c r="BU122" s="181"/>
      <c r="BV122" s="181"/>
      <c r="BW122" s="181"/>
      <c r="BX122" s="181"/>
      <c r="BY122" s="181"/>
      <c r="BZ122" s="181"/>
      <c r="CA122" s="181"/>
      <c r="CB122" s="181"/>
      <c r="CC122" s="181"/>
      <c r="CD122" s="181"/>
      <c r="CE122" s="181"/>
      <c r="CF122" s="181"/>
      <c r="CG122" s="181"/>
      <c r="CH122" s="181"/>
      <c r="CI122" s="181"/>
    </row>
    <row r="123" spans="1:87" ht="12.75" customHeight="1">
      <c r="A123" s="327" t="s">
        <v>117</v>
      </c>
      <c r="B123" s="309" t="s">
        <v>366</v>
      </c>
      <c r="C123" s="402" t="s">
        <v>367</v>
      </c>
      <c r="D123" s="402" t="s">
        <v>157</v>
      </c>
      <c r="E123" s="402" t="s">
        <v>489</v>
      </c>
      <c r="F123" s="169" t="s">
        <v>70</v>
      </c>
      <c r="G123" s="169" t="s">
        <v>70</v>
      </c>
      <c r="H123" s="170" t="s">
        <v>71</v>
      </c>
      <c r="I123" s="171" t="s">
        <v>115</v>
      </c>
      <c r="J123" s="238">
        <v>20</v>
      </c>
      <c r="K123" s="219">
        <v>15</v>
      </c>
      <c r="L123" s="219">
        <v>5</v>
      </c>
      <c r="M123" s="219">
        <v>0</v>
      </c>
      <c r="N123" s="172">
        <f>SUM(O123:Q123)</f>
        <v>15</v>
      </c>
      <c r="O123" s="332"/>
      <c r="P123" s="332">
        <v>11</v>
      </c>
      <c r="Q123" s="332">
        <v>4</v>
      </c>
      <c r="R123" s="332"/>
      <c r="S123" s="332"/>
      <c r="T123" s="332"/>
      <c r="U123" s="172">
        <f>SUM(V123:X123)</f>
        <v>5</v>
      </c>
      <c r="V123" s="332"/>
      <c r="W123" s="332">
        <v>5</v>
      </c>
      <c r="X123" s="332"/>
      <c r="Y123" s="332"/>
      <c r="Z123" s="332"/>
      <c r="AA123" s="332"/>
      <c r="AB123" s="172">
        <f>SUM(AC123:AE123)</f>
        <v>0</v>
      </c>
      <c r="AC123" s="37"/>
      <c r="AD123" s="37"/>
      <c r="AE123" s="37"/>
      <c r="AF123" s="37"/>
      <c r="AG123" s="37"/>
      <c r="AH123" s="37"/>
      <c r="AI123" s="345">
        <f>(L123+M123)/J123</f>
        <v>0.25</v>
      </c>
      <c r="AJ123" s="346">
        <f t="shared" si="42"/>
        <v>0</v>
      </c>
      <c r="AK123" s="173" t="s">
        <v>73</v>
      </c>
      <c r="AL123" s="169" t="s">
        <v>71</v>
      </c>
      <c r="AM123" s="173" t="s">
        <v>115</v>
      </c>
      <c r="AN123" s="169" t="s">
        <v>75</v>
      </c>
      <c r="AO123" s="173" t="s">
        <v>96</v>
      </c>
      <c r="AP123" s="259"/>
      <c r="AQ123" s="259"/>
      <c r="AR123" s="259">
        <v>0.68</v>
      </c>
      <c r="AS123" s="441">
        <v>0.5</v>
      </c>
      <c r="AT123" s="259"/>
      <c r="AU123" s="275"/>
      <c r="AV123" s="246"/>
      <c r="AW123" s="127">
        <f t="shared" si="44"/>
        <v>1.1800000000000002</v>
      </c>
      <c r="AX123" s="295"/>
      <c r="AY123" s="296"/>
      <c r="AZ123" s="177"/>
      <c r="BA123" s="302">
        <f t="shared" si="41"/>
        <v>1.1800000000000002</v>
      </c>
      <c r="BB123" s="129">
        <f t="shared" si="43"/>
        <v>5.9000000000000011E-2</v>
      </c>
      <c r="BC123" s="178">
        <v>50</v>
      </c>
      <c r="BD123" s="178">
        <v>45</v>
      </c>
      <c r="BE123" s="178">
        <v>10</v>
      </c>
      <c r="BF123" s="178">
        <v>70</v>
      </c>
      <c r="BG123" s="179">
        <v>0</v>
      </c>
      <c r="BH123" s="179">
        <v>0</v>
      </c>
      <c r="BI123" s="179">
        <f t="shared" si="48"/>
        <v>95</v>
      </c>
      <c r="BJ123" s="179">
        <f t="shared" si="49"/>
        <v>80</v>
      </c>
      <c r="BK123" s="180">
        <f t="shared" si="50"/>
        <v>0</v>
      </c>
      <c r="BL123" s="363">
        <f t="shared" si="51"/>
        <v>175</v>
      </c>
      <c r="BM123" s="374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</row>
    <row r="124" spans="1:87" ht="12.75" customHeight="1">
      <c r="A124" s="318" t="s">
        <v>514</v>
      </c>
      <c r="B124" s="631" t="s">
        <v>162</v>
      </c>
      <c r="C124" s="81" t="s">
        <v>371</v>
      </c>
      <c r="D124" s="76" t="s">
        <v>124</v>
      </c>
      <c r="E124" s="48" t="s">
        <v>489</v>
      </c>
      <c r="F124" s="173" t="s">
        <v>119</v>
      </c>
      <c r="G124" s="169" t="s">
        <v>81</v>
      </c>
      <c r="H124" s="194" t="s">
        <v>109</v>
      </c>
      <c r="I124" s="452" t="s">
        <v>115</v>
      </c>
      <c r="J124" s="238">
        <v>10</v>
      </c>
      <c r="K124" s="219">
        <v>7</v>
      </c>
      <c r="L124" s="219">
        <v>2</v>
      </c>
      <c r="M124" s="219">
        <v>1</v>
      </c>
      <c r="N124" s="172">
        <f t="shared" ref="N124:N134" si="53">SUM(O124:T124)</f>
        <v>7</v>
      </c>
      <c r="O124" s="332">
        <v>0</v>
      </c>
      <c r="P124" s="332">
        <v>3</v>
      </c>
      <c r="Q124" s="332">
        <v>3</v>
      </c>
      <c r="R124" s="332">
        <v>1</v>
      </c>
      <c r="S124" s="332">
        <v>0</v>
      </c>
      <c r="T124" s="332">
        <v>0</v>
      </c>
      <c r="U124" s="172">
        <f t="shared" ref="U124:U134" si="54">SUM(V124:AA124)</f>
        <v>2</v>
      </c>
      <c r="V124" s="332">
        <v>0</v>
      </c>
      <c r="W124" s="332">
        <v>2</v>
      </c>
      <c r="X124" s="332">
        <v>0</v>
      </c>
      <c r="Y124" s="332">
        <v>0</v>
      </c>
      <c r="Z124" s="332">
        <v>0</v>
      </c>
      <c r="AA124" s="332">
        <v>0</v>
      </c>
      <c r="AB124" s="172">
        <f t="shared" ref="AB124:AB134" si="55">SUM(AC124:AH124)</f>
        <v>1</v>
      </c>
      <c r="AC124" s="43">
        <v>0</v>
      </c>
      <c r="AD124" s="43">
        <v>1</v>
      </c>
      <c r="AE124" s="43">
        <v>0</v>
      </c>
      <c r="AF124" s="43">
        <v>0</v>
      </c>
      <c r="AG124" s="43">
        <v>0</v>
      </c>
      <c r="AH124" s="43">
        <v>0</v>
      </c>
      <c r="AI124" s="345">
        <f>(U124+AB124)/J124</f>
        <v>0.3</v>
      </c>
      <c r="AJ124" s="346">
        <f t="shared" si="42"/>
        <v>0.1</v>
      </c>
      <c r="AK124" s="46" t="s">
        <v>73</v>
      </c>
      <c r="AL124" s="410" t="s">
        <v>71</v>
      </c>
      <c r="AM124" s="194" t="s">
        <v>72</v>
      </c>
      <c r="AN124" s="410" t="s">
        <v>71</v>
      </c>
      <c r="AO124" s="169" t="s">
        <v>72</v>
      </c>
      <c r="AP124" s="248"/>
      <c r="AQ124" s="248"/>
      <c r="AR124" s="248">
        <v>0.59</v>
      </c>
      <c r="AS124" s="248"/>
      <c r="AT124" s="248"/>
      <c r="AU124" s="248"/>
      <c r="AV124" s="248"/>
      <c r="AW124" s="127">
        <f t="shared" si="44"/>
        <v>0.59</v>
      </c>
      <c r="AX124" s="286"/>
      <c r="AY124" s="286"/>
      <c r="AZ124" s="176"/>
      <c r="BA124" s="129">
        <f t="shared" si="41"/>
        <v>0.59</v>
      </c>
      <c r="BB124" s="129">
        <f t="shared" si="43"/>
        <v>5.8999999999999997E-2</v>
      </c>
      <c r="BC124" s="54">
        <v>50</v>
      </c>
      <c r="BD124" s="54">
        <v>25</v>
      </c>
      <c r="BE124" s="54">
        <v>0</v>
      </c>
      <c r="BF124" s="54">
        <v>30</v>
      </c>
      <c r="BG124" s="54">
        <v>0</v>
      </c>
      <c r="BH124" s="54">
        <v>0</v>
      </c>
      <c r="BI124" s="31">
        <f t="shared" si="48"/>
        <v>75</v>
      </c>
      <c r="BJ124" s="31">
        <f t="shared" si="49"/>
        <v>30</v>
      </c>
      <c r="BK124" s="32">
        <f t="shared" si="50"/>
        <v>0</v>
      </c>
      <c r="BL124" s="362">
        <f t="shared" si="51"/>
        <v>105</v>
      </c>
      <c r="BM124" s="365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</row>
    <row r="125" spans="1:87" ht="12.75" customHeight="1">
      <c r="A125" s="318" t="s">
        <v>369</v>
      </c>
      <c r="B125" s="608" t="s">
        <v>370</v>
      </c>
      <c r="C125" s="48" t="s">
        <v>371</v>
      </c>
      <c r="D125" s="48" t="s">
        <v>124</v>
      </c>
      <c r="E125" s="48" t="s">
        <v>489</v>
      </c>
      <c r="F125" s="171" t="s">
        <v>81</v>
      </c>
      <c r="G125" s="171" t="s">
        <v>81</v>
      </c>
      <c r="H125" s="194" t="s">
        <v>114</v>
      </c>
      <c r="I125" s="194" t="s">
        <v>115</v>
      </c>
      <c r="J125" s="221">
        <v>35</v>
      </c>
      <c r="K125" s="225">
        <v>0</v>
      </c>
      <c r="L125" s="225">
        <v>27</v>
      </c>
      <c r="M125" s="219">
        <v>8</v>
      </c>
      <c r="N125" s="172">
        <f t="shared" si="53"/>
        <v>0</v>
      </c>
      <c r="O125" s="332">
        <v>0</v>
      </c>
      <c r="P125" s="332">
        <v>0</v>
      </c>
      <c r="Q125" s="332">
        <v>0</v>
      </c>
      <c r="R125" s="332">
        <v>0</v>
      </c>
      <c r="S125" s="332">
        <v>0</v>
      </c>
      <c r="T125" s="332">
        <v>0</v>
      </c>
      <c r="U125" s="172">
        <f t="shared" si="54"/>
        <v>27</v>
      </c>
      <c r="V125" s="332">
        <v>0</v>
      </c>
      <c r="W125" s="332">
        <v>27</v>
      </c>
      <c r="X125" s="332">
        <v>0</v>
      </c>
      <c r="Y125" s="332">
        <v>0</v>
      </c>
      <c r="Z125" s="332">
        <v>0</v>
      </c>
      <c r="AA125" s="332">
        <v>0</v>
      </c>
      <c r="AB125" s="172">
        <f t="shared" si="55"/>
        <v>8</v>
      </c>
      <c r="AC125" s="43">
        <v>0</v>
      </c>
      <c r="AD125" s="43">
        <v>6</v>
      </c>
      <c r="AE125" s="43">
        <v>2</v>
      </c>
      <c r="AF125" s="43">
        <v>0</v>
      </c>
      <c r="AG125" s="43">
        <v>0</v>
      </c>
      <c r="AH125" s="43">
        <v>0</v>
      </c>
      <c r="AI125" s="345">
        <f>(U125+AB125)/J125</f>
        <v>1</v>
      </c>
      <c r="AJ125" s="346">
        <f t="shared" si="42"/>
        <v>0.22857142857142856</v>
      </c>
      <c r="AK125" s="63" t="s">
        <v>73</v>
      </c>
      <c r="AL125" s="194" t="s">
        <v>114</v>
      </c>
      <c r="AM125" s="194" t="s">
        <v>115</v>
      </c>
      <c r="AN125" s="194" t="s">
        <v>75</v>
      </c>
      <c r="AO125" s="194" t="s">
        <v>104</v>
      </c>
      <c r="AP125" s="272">
        <v>1.2649999999999999</v>
      </c>
      <c r="AQ125" s="272">
        <v>1</v>
      </c>
      <c r="AR125" s="272"/>
      <c r="AS125" s="272"/>
      <c r="AT125" s="272"/>
      <c r="AU125" s="272"/>
      <c r="AV125" s="272"/>
      <c r="AW125" s="127">
        <f t="shared" si="44"/>
        <v>2.2649999999999997</v>
      </c>
      <c r="AX125" s="298">
        <v>0.5</v>
      </c>
      <c r="AY125" s="298"/>
      <c r="AZ125" s="176"/>
      <c r="BA125" s="38">
        <f t="shared" si="41"/>
        <v>2.7649999999999997</v>
      </c>
      <c r="BB125" s="129">
        <f t="shared" si="43"/>
        <v>7.8999999999999987E-2</v>
      </c>
      <c r="BC125" s="54">
        <v>50</v>
      </c>
      <c r="BD125" s="54">
        <v>25</v>
      </c>
      <c r="BE125" s="54">
        <v>80</v>
      </c>
      <c r="BF125" s="54">
        <v>70</v>
      </c>
      <c r="BG125" s="54">
        <v>20</v>
      </c>
      <c r="BH125" s="54">
        <v>20</v>
      </c>
      <c r="BI125" s="85">
        <f t="shared" si="48"/>
        <v>75</v>
      </c>
      <c r="BJ125" s="85">
        <f t="shared" si="49"/>
        <v>150</v>
      </c>
      <c r="BK125" s="32">
        <f t="shared" si="50"/>
        <v>40</v>
      </c>
      <c r="BL125" s="362">
        <f t="shared" si="51"/>
        <v>265</v>
      </c>
      <c r="BM125" s="365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</row>
    <row r="126" spans="1:87" ht="12.75" customHeight="1">
      <c r="A126" s="324" t="s">
        <v>372</v>
      </c>
      <c r="B126" s="95" t="s">
        <v>373</v>
      </c>
      <c r="C126" s="63" t="s">
        <v>371</v>
      </c>
      <c r="D126" s="48" t="s">
        <v>124</v>
      </c>
      <c r="E126" s="48" t="s">
        <v>489</v>
      </c>
      <c r="F126" s="173" t="s">
        <v>70</v>
      </c>
      <c r="G126" s="173" t="s">
        <v>70</v>
      </c>
      <c r="H126" s="170" t="s">
        <v>103</v>
      </c>
      <c r="I126" s="194" t="s">
        <v>82</v>
      </c>
      <c r="J126" s="217">
        <v>16</v>
      </c>
      <c r="K126" s="223">
        <v>16</v>
      </c>
      <c r="L126" s="223">
        <v>0</v>
      </c>
      <c r="M126" s="223">
        <v>0</v>
      </c>
      <c r="N126" s="172">
        <f t="shared" si="53"/>
        <v>16</v>
      </c>
      <c r="O126" s="332"/>
      <c r="P126" s="336">
        <v>2</v>
      </c>
      <c r="Q126" s="336">
        <v>8</v>
      </c>
      <c r="R126" s="336">
        <v>6</v>
      </c>
      <c r="S126" s="332"/>
      <c r="T126" s="332"/>
      <c r="U126" s="172">
        <f t="shared" si="54"/>
        <v>0</v>
      </c>
      <c r="V126" s="332"/>
      <c r="W126" s="332"/>
      <c r="X126" s="332"/>
      <c r="Y126" s="332"/>
      <c r="Z126" s="332"/>
      <c r="AA126" s="332"/>
      <c r="AB126" s="172">
        <f t="shared" si="55"/>
        <v>0</v>
      </c>
      <c r="AC126" s="37"/>
      <c r="AD126" s="37"/>
      <c r="AE126" s="43"/>
      <c r="AF126" s="43"/>
      <c r="AG126" s="43"/>
      <c r="AH126" s="43"/>
      <c r="AI126" s="345">
        <f>(L126+M126)/J126</f>
        <v>0</v>
      </c>
      <c r="AJ126" s="346">
        <f t="shared" si="42"/>
        <v>0</v>
      </c>
      <c r="AK126" s="46" t="s">
        <v>73</v>
      </c>
      <c r="AL126" s="185" t="s">
        <v>103</v>
      </c>
      <c r="AM126" s="194" t="s">
        <v>97</v>
      </c>
      <c r="AN126" s="169" t="s">
        <v>109</v>
      </c>
      <c r="AO126" s="194" t="s">
        <v>72</v>
      </c>
      <c r="AP126" s="249">
        <v>1.3520000000000001</v>
      </c>
      <c r="AQ126" s="244"/>
      <c r="AR126" s="290"/>
      <c r="AS126" s="290"/>
      <c r="AT126" s="290"/>
      <c r="AU126" s="290"/>
      <c r="AV126" s="246"/>
      <c r="AW126" s="127">
        <f t="shared" si="44"/>
        <v>1.3520000000000001</v>
      </c>
      <c r="AX126" s="290"/>
      <c r="AY126" s="290"/>
      <c r="AZ126" s="178"/>
      <c r="BA126" s="38">
        <f t="shared" si="41"/>
        <v>1.3520000000000001</v>
      </c>
      <c r="BB126" s="129">
        <f t="shared" si="43"/>
        <v>8.4500000000000006E-2</v>
      </c>
      <c r="BC126" s="54">
        <v>50</v>
      </c>
      <c r="BD126" s="54">
        <v>25</v>
      </c>
      <c r="BE126" s="54">
        <v>80</v>
      </c>
      <c r="BF126" s="54">
        <v>70</v>
      </c>
      <c r="BG126" s="54">
        <v>0</v>
      </c>
      <c r="BH126" s="54">
        <v>0</v>
      </c>
      <c r="BI126" s="31">
        <f t="shared" si="48"/>
        <v>75</v>
      </c>
      <c r="BJ126" s="31">
        <f t="shared" si="49"/>
        <v>150</v>
      </c>
      <c r="BK126" s="32">
        <f t="shared" si="50"/>
        <v>0</v>
      </c>
      <c r="BL126" s="362">
        <f t="shared" si="51"/>
        <v>225</v>
      </c>
      <c r="BM126" s="367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</row>
    <row r="127" spans="1:87" ht="12.75" customHeight="1">
      <c r="A127" s="318" t="s">
        <v>374</v>
      </c>
      <c r="B127" s="612" t="s">
        <v>375</v>
      </c>
      <c r="C127" s="76" t="s">
        <v>376</v>
      </c>
      <c r="D127" s="76" t="s">
        <v>251</v>
      </c>
      <c r="E127" s="76" t="s">
        <v>490</v>
      </c>
      <c r="F127" s="173" t="s">
        <v>81</v>
      </c>
      <c r="G127" s="173" t="s">
        <v>81</v>
      </c>
      <c r="H127" s="194" t="s">
        <v>114</v>
      </c>
      <c r="I127" s="169" t="s">
        <v>97</v>
      </c>
      <c r="J127" s="218">
        <v>34</v>
      </c>
      <c r="K127" s="219">
        <v>24</v>
      </c>
      <c r="L127" s="219">
        <v>8</v>
      </c>
      <c r="M127" s="219">
        <v>2</v>
      </c>
      <c r="N127" s="172">
        <f t="shared" si="53"/>
        <v>24</v>
      </c>
      <c r="O127" s="332">
        <v>0</v>
      </c>
      <c r="P127" s="332">
        <v>11</v>
      </c>
      <c r="Q127" s="332">
        <v>11</v>
      </c>
      <c r="R127" s="332">
        <v>2</v>
      </c>
      <c r="S127" s="332">
        <v>0</v>
      </c>
      <c r="T127" s="332">
        <v>0</v>
      </c>
      <c r="U127" s="172">
        <f t="shared" si="54"/>
        <v>8</v>
      </c>
      <c r="V127" s="332">
        <v>0</v>
      </c>
      <c r="W127" s="332">
        <v>8</v>
      </c>
      <c r="X127" s="332">
        <v>0</v>
      </c>
      <c r="Y127" s="332">
        <v>0</v>
      </c>
      <c r="Z127" s="332">
        <v>0</v>
      </c>
      <c r="AA127" s="332">
        <v>0</v>
      </c>
      <c r="AB127" s="172">
        <f t="shared" si="55"/>
        <v>2</v>
      </c>
      <c r="AC127" s="43">
        <v>0</v>
      </c>
      <c r="AD127" s="43">
        <v>1</v>
      </c>
      <c r="AE127" s="43">
        <v>1</v>
      </c>
      <c r="AF127" s="43">
        <v>0</v>
      </c>
      <c r="AG127" s="43">
        <v>0</v>
      </c>
      <c r="AH127" s="43">
        <v>0</v>
      </c>
      <c r="AI127" s="345">
        <f>(U127+AB127)/J127</f>
        <v>0.29411764705882354</v>
      </c>
      <c r="AJ127" s="346">
        <f t="shared" si="42"/>
        <v>5.8823529411764705E-2</v>
      </c>
      <c r="AK127" s="46" t="s">
        <v>73</v>
      </c>
      <c r="AL127" s="194" t="s">
        <v>114</v>
      </c>
      <c r="AM127" s="169" t="s">
        <v>97</v>
      </c>
      <c r="AN127" s="194" t="s">
        <v>71</v>
      </c>
      <c r="AO127" s="169" t="s">
        <v>85</v>
      </c>
      <c r="AP127" s="248">
        <v>0.5</v>
      </c>
      <c r="AQ127" s="248">
        <v>1.506</v>
      </c>
      <c r="AR127" s="248"/>
      <c r="AS127" s="248"/>
      <c r="AT127" s="248"/>
      <c r="AU127" s="248"/>
      <c r="AV127" s="248"/>
      <c r="AW127" s="127">
        <f t="shared" si="44"/>
        <v>2.0060000000000002</v>
      </c>
      <c r="AX127" s="286"/>
      <c r="AY127" s="286"/>
      <c r="AZ127" s="176"/>
      <c r="BA127" s="129">
        <f t="shared" si="41"/>
        <v>2.0060000000000002</v>
      </c>
      <c r="BB127" s="129">
        <f t="shared" si="43"/>
        <v>5.9000000000000004E-2</v>
      </c>
      <c r="BC127" s="54">
        <v>20</v>
      </c>
      <c r="BD127" s="54">
        <v>10</v>
      </c>
      <c r="BE127" s="54">
        <v>0</v>
      </c>
      <c r="BF127" s="54">
        <v>70</v>
      </c>
      <c r="BG127" s="54">
        <v>0</v>
      </c>
      <c r="BH127" s="54">
        <v>0</v>
      </c>
      <c r="BI127" s="31">
        <f t="shared" si="48"/>
        <v>30</v>
      </c>
      <c r="BJ127" s="31">
        <f>BE128+BF128</f>
        <v>10</v>
      </c>
      <c r="BK127" s="32">
        <f t="shared" si="50"/>
        <v>0</v>
      </c>
      <c r="BL127" s="362">
        <f t="shared" si="51"/>
        <v>40</v>
      </c>
      <c r="BM127" s="366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</row>
    <row r="128" spans="1:87" ht="12.75" customHeight="1">
      <c r="A128" s="320" t="s">
        <v>377</v>
      </c>
      <c r="B128" s="610" t="s">
        <v>378</v>
      </c>
      <c r="C128" s="42" t="s">
        <v>379</v>
      </c>
      <c r="D128" s="76" t="s">
        <v>251</v>
      </c>
      <c r="E128" s="76" t="s">
        <v>491</v>
      </c>
      <c r="F128" s="192" t="s">
        <v>81</v>
      </c>
      <c r="G128" s="192" t="s">
        <v>81</v>
      </c>
      <c r="H128" s="200" t="s">
        <v>84</v>
      </c>
      <c r="I128" s="193" t="s">
        <v>104</v>
      </c>
      <c r="J128" s="218">
        <v>20</v>
      </c>
      <c r="K128" s="219">
        <v>14</v>
      </c>
      <c r="L128" s="219">
        <v>5</v>
      </c>
      <c r="M128" s="219">
        <v>1</v>
      </c>
      <c r="N128" s="172">
        <f t="shared" si="53"/>
        <v>14</v>
      </c>
      <c r="O128" s="332">
        <v>0</v>
      </c>
      <c r="P128" s="332">
        <v>7</v>
      </c>
      <c r="Q128" s="332">
        <v>6</v>
      </c>
      <c r="R128" s="332">
        <v>1</v>
      </c>
      <c r="S128" s="332">
        <v>0</v>
      </c>
      <c r="T128" s="332">
        <v>0</v>
      </c>
      <c r="U128" s="172">
        <f t="shared" si="54"/>
        <v>4</v>
      </c>
      <c r="V128" s="332">
        <v>0</v>
      </c>
      <c r="W128" s="332">
        <v>4</v>
      </c>
      <c r="X128" s="332">
        <v>0</v>
      </c>
      <c r="Y128" s="332">
        <v>0</v>
      </c>
      <c r="Z128" s="332">
        <v>0</v>
      </c>
      <c r="AA128" s="332">
        <v>0</v>
      </c>
      <c r="AB128" s="172">
        <f t="shared" si="55"/>
        <v>2</v>
      </c>
      <c r="AC128" s="43">
        <v>0</v>
      </c>
      <c r="AD128" s="43">
        <v>1</v>
      </c>
      <c r="AE128" s="43">
        <v>1</v>
      </c>
      <c r="AF128" s="43">
        <v>0</v>
      </c>
      <c r="AG128" s="43">
        <v>0</v>
      </c>
      <c r="AH128" s="43">
        <v>0</v>
      </c>
      <c r="AI128" s="345">
        <f>(L128+M128)/J128</f>
        <v>0.3</v>
      </c>
      <c r="AJ128" s="346">
        <f t="shared" si="42"/>
        <v>0.1</v>
      </c>
      <c r="AK128" s="42" t="s">
        <v>83</v>
      </c>
      <c r="AL128" s="194" t="s">
        <v>84</v>
      </c>
      <c r="AM128" s="193" t="s">
        <v>104</v>
      </c>
      <c r="AN128" s="169" t="s">
        <v>89</v>
      </c>
      <c r="AO128" s="193" t="s">
        <v>97</v>
      </c>
      <c r="AP128" s="248"/>
      <c r="AQ128" s="248"/>
      <c r="AR128" s="248"/>
      <c r="AS128" s="248"/>
      <c r="AT128" s="248">
        <v>1.18</v>
      </c>
      <c r="AU128" s="248"/>
      <c r="AV128" s="248"/>
      <c r="AW128" s="127">
        <f t="shared" si="44"/>
        <v>1.18</v>
      </c>
      <c r="AX128" s="286"/>
      <c r="AY128" s="286"/>
      <c r="AZ128" s="279"/>
      <c r="BA128" s="38">
        <f t="shared" si="41"/>
        <v>1.18</v>
      </c>
      <c r="BB128" s="129">
        <f t="shared" si="43"/>
        <v>5.8999999999999997E-2</v>
      </c>
      <c r="BC128" s="54">
        <v>10</v>
      </c>
      <c r="BD128" s="40">
        <v>10</v>
      </c>
      <c r="BE128" s="54">
        <v>0</v>
      </c>
      <c r="BF128" s="54">
        <v>10</v>
      </c>
      <c r="BG128" s="40">
        <v>0</v>
      </c>
      <c r="BH128" s="40">
        <v>0</v>
      </c>
      <c r="BI128" s="31">
        <f t="shared" si="48"/>
        <v>20</v>
      </c>
      <c r="BJ128" s="31">
        <f>BE129+BF129</f>
        <v>30</v>
      </c>
      <c r="BK128" s="32">
        <f t="shared" si="50"/>
        <v>0</v>
      </c>
      <c r="BL128" s="362">
        <f t="shared" si="51"/>
        <v>50</v>
      </c>
      <c r="BM128" s="376"/>
      <c r="BN128" s="1"/>
      <c r="BO128" s="5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</row>
    <row r="129" spans="1:87" ht="12.75" customHeight="1">
      <c r="A129" s="318" t="s">
        <v>380</v>
      </c>
      <c r="B129" s="95" t="s">
        <v>381</v>
      </c>
      <c r="C129" s="64" t="s">
        <v>382</v>
      </c>
      <c r="D129" s="76" t="s">
        <v>80</v>
      </c>
      <c r="E129" s="76" t="s">
        <v>491</v>
      </c>
      <c r="F129" s="173" t="s">
        <v>70</v>
      </c>
      <c r="G129" s="173" t="s">
        <v>135</v>
      </c>
      <c r="H129" s="189" t="s">
        <v>75</v>
      </c>
      <c r="I129" s="171" t="s">
        <v>90</v>
      </c>
      <c r="J129" s="229">
        <v>20</v>
      </c>
      <c r="K129" s="219">
        <v>12</v>
      </c>
      <c r="L129" s="219">
        <v>7</v>
      </c>
      <c r="M129" s="219">
        <v>1</v>
      </c>
      <c r="N129" s="172">
        <f t="shared" si="53"/>
        <v>12</v>
      </c>
      <c r="O129" s="332"/>
      <c r="P129" s="332">
        <v>10</v>
      </c>
      <c r="Q129" s="332">
        <v>2</v>
      </c>
      <c r="R129" s="332"/>
      <c r="S129" s="332"/>
      <c r="T129" s="332"/>
      <c r="U129" s="172">
        <f t="shared" si="54"/>
        <v>8</v>
      </c>
      <c r="V129" s="332"/>
      <c r="W129" s="332">
        <v>6</v>
      </c>
      <c r="X129" s="332"/>
      <c r="Y129" s="332">
        <v>2</v>
      </c>
      <c r="Z129" s="332"/>
      <c r="AA129" s="332"/>
      <c r="AB129" s="172">
        <f t="shared" si="55"/>
        <v>0</v>
      </c>
      <c r="AC129" s="43"/>
      <c r="AD129" s="37"/>
      <c r="AE129" s="43"/>
      <c r="AF129" s="43"/>
      <c r="AG129" s="43"/>
      <c r="AH129" s="43"/>
      <c r="AI129" s="345">
        <f>(L129+M129)/J129</f>
        <v>0.4</v>
      </c>
      <c r="AJ129" s="346">
        <f t="shared" si="42"/>
        <v>0</v>
      </c>
      <c r="AK129" s="46" t="s">
        <v>136</v>
      </c>
      <c r="AL129" s="173" t="s">
        <v>75</v>
      </c>
      <c r="AM129" s="173" t="s">
        <v>90</v>
      </c>
      <c r="AN129" s="173" t="s">
        <v>84</v>
      </c>
      <c r="AO129" s="433" t="s">
        <v>90</v>
      </c>
      <c r="AP129" s="253"/>
      <c r="AQ129" s="253"/>
      <c r="AR129" s="253"/>
      <c r="AS129" s="253">
        <v>0.92</v>
      </c>
      <c r="AT129" s="253"/>
      <c r="AU129" s="252"/>
      <c r="AV129" s="175"/>
      <c r="AW129" s="127">
        <f t="shared" si="44"/>
        <v>0.92</v>
      </c>
      <c r="AX129" s="176"/>
      <c r="AY129" s="176"/>
      <c r="AZ129" s="176"/>
      <c r="BA129" s="38">
        <f t="shared" ref="BA129:BA154" si="56">AW129+AX129+AY129</f>
        <v>0.92</v>
      </c>
      <c r="BB129" s="129">
        <f t="shared" si="43"/>
        <v>4.5999999999999999E-2</v>
      </c>
      <c r="BC129" s="54">
        <v>30</v>
      </c>
      <c r="BD129" s="54">
        <v>30</v>
      </c>
      <c r="BE129" s="40">
        <v>0</v>
      </c>
      <c r="BF129" s="40">
        <v>30</v>
      </c>
      <c r="BG129" s="54">
        <v>0</v>
      </c>
      <c r="BH129" s="53">
        <v>0</v>
      </c>
      <c r="BI129" s="31">
        <f t="shared" si="48"/>
        <v>60</v>
      </c>
      <c r="BJ129" s="31">
        <f t="shared" ref="BJ129:BJ154" si="57">BE129+BF129</f>
        <v>30</v>
      </c>
      <c r="BK129" s="32">
        <f t="shared" si="50"/>
        <v>0</v>
      </c>
      <c r="BL129" s="362">
        <f t="shared" si="51"/>
        <v>90</v>
      </c>
      <c r="BM129" s="366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</row>
    <row r="130" spans="1:87" ht="12.75" customHeight="1">
      <c r="A130" s="320" t="s">
        <v>383</v>
      </c>
      <c r="B130" s="304" t="s">
        <v>384</v>
      </c>
      <c r="C130" s="36" t="s">
        <v>382</v>
      </c>
      <c r="D130" s="76" t="s">
        <v>80</v>
      </c>
      <c r="E130" s="76" t="s">
        <v>491</v>
      </c>
      <c r="F130" s="173" t="s">
        <v>70</v>
      </c>
      <c r="G130" s="173" t="s">
        <v>70</v>
      </c>
      <c r="H130" s="170" t="s">
        <v>71</v>
      </c>
      <c r="I130" s="193" t="s">
        <v>125</v>
      </c>
      <c r="J130" s="229">
        <v>29</v>
      </c>
      <c r="K130" s="219">
        <v>18</v>
      </c>
      <c r="L130" s="219">
        <v>10</v>
      </c>
      <c r="M130" s="219">
        <v>1</v>
      </c>
      <c r="N130" s="172">
        <f t="shared" si="53"/>
        <v>18</v>
      </c>
      <c r="O130" s="332"/>
      <c r="P130" s="332">
        <v>14</v>
      </c>
      <c r="Q130" s="332">
        <v>4</v>
      </c>
      <c r="R130" s="332"/>
      <c r="S130" s="332"/>
      <c r="T130" s="332"/>
      <c r="U130" s="172">
        <f t="shared" si="54"/>
        <v>10</v>
      </c>
      <c r="V130" s="332"/>
      <c r="W130" s="332">
        <v>8</v>
      </c>
      <c r="X130" s="332"/>
      <c r="Y130" s="332">
        <v>2</v>
      </c>
      <c r="Z130" s="332"/>
      <c r="AA130" s="332"/>
      <c r="AB130" s="172">
        <f t="shared" si="55"/>
        <v>1</v>
      </c>
      <c r="AC130" s="43"/>
      <c r="AD130" s="37">
        <v>1</v>
      </c>
      <c r="AE130" s="43"/>
      <c r="AF130" s="43"/>
      <c r="AG130" s="43"/>
      <c r="AH130" s="43"/>
      <c r="AI130" s="345">
        <f>(L130+M130)/J130</f>
        <v>0.37931034482758619</v>
      </c>
      <c r="AJ130" s="346">
        <f t="shared" si="42"/>
        <v>3.4482758620689655E-2</v>
      </c>
      <c r="AK130" s="46" t="s">
        <v>73</v>
      </c>
      <c r="AL130" s="169" t="s">
        <v>71</v>
      </c>
      <c r="AM130" s="193" t="s">
        <v>125</v>
      </c>
      <c r="AN130" s="169" t="s">
        <v>75</v>
      </c>
      <c r="AO130" s="193" t="s">
        <v>96</v>
      </c>
      <c r="AP130" s="253"/>
      <c r="AQ130" s="271"/>
      <c r="AR130" s="271">
        <v>0.5</v>
      </c>
      <c r="AS130" s="271">
        <v>1.78</v>
      </c>
      <c r="AT130" s="253"/>
      <c r="AU130" s="253"/>
      <c r="AV130" s="175"/>
      <c r="AW130" s="127">
        <f t="shared" si="44"/>
        <v>2.2800000000000002</v>
      </c>
      <c r="AX130" s="177"/>
      <c r="AY130" s="177"/>
      <c r="AZ130" s="279"/>
      <c r="BA130" s="38">
        <f t="shared" si="56"/>
        <v>2.2800000000000002</v>
      </c>
      <c r="BB130" s="129">
        <f t="shared" si="43"/>
        <v>7.8620689655172424E-2</v>
      </c>
      <c r="BC130" s="40">
        <v>30</v>
      </c>
      <c r="BD130" s="40">
        <v>30</v>
      </c>
      <c r="BE130" s="40">
        <v>0</v>
      </c>
      <c r="BF130" s="40">
        <v>30</v>
      </c>
      <c r="BG130" s="22">
        <v>0</v>
      </c>
      <c r="BH130" s="22">
        <v>0</v>
      </c>
      <c r="BI130" s="31">
        <f t="shared" si="48"/>
        <v>60</v>
      </c>
      <c r="BJ130" s="31">
        <f t="shared" si="57"/>
        <v>30</v>
      </c>
      <c r="BK130" s="32">
        <f t="shared" si="50"/>
        <v>0</v>
      </c>
      <c r="BL130" s="362">
        <f t="shared" si="51"/>
        <v>90</v>
      </c>
      <c r="BM130" s="367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</row>
    <row r="131" spans="1:87" ht="12.75" customHeight="1">
      <c r="A131" s="326" t="s">
        <v>117</v>
      </c>
      <c r="B131" s="399" t="s">
        <v>391</v>
      </c>
      <c r="C131" s="48" t="s">
        <v>387</v>
      </c>
      <c r="D131" s="87" t="s">
        <v>69</v>
      </c>
      <c r="E131" s="76" t="s">
        <v>488</v>
      </c>
      <c r="F131" s="202" t="s">
        <v>164</v>
      </c>
      <c r="G131" s="202" t="s">
        <v>164</v>
      </c>
      <c r="H131" s="203" t="s">
        <v>75</v>
      </c>
      <c r="I131" s="186" t="s">
        <v>104</v>
      </c>
      <c r="J131" s="239">
        <v>38</v>
      </c>
      <c r="K131" s="233">
        <v>21</v>
      </c>
      <c r="L131" s="233">
        <v>7</v>
      </c>
      <c r="M131" s="233">
        <v>2</v>
      </c>
      <c r="N131" s="172">
        <f t="shared" si="53"/>
        <v>28</v>
      </c>
      <c r="O131" s="333"/>
      <c r="P131" s="333">
        <v>12</v>
      </c>
      <c r="Q131" s="333">
        <v>12</v>
      </c>
      <c r="R131" s="333">
        <v>4</v>
      </c>
      <c r="S131" s="333"/>
      <c r="T131" s="333"/>
      <c r="U131" s="172">
        <f t="shared" si="54"/>
        <v>10</v>
      </c>
      <c r="V131" s="333"/>
      <c r="W131" s="333">
        <v>8</v>
      </c>
      <c r="X131" s="333">
        <v>1</v>
      </c>
      <c r="Y131" s="333">
        <v>1</v>
      </c>
      <c r="Z131" s="333"/>
      <c r="AA131" s="333"/>
      <c r="AB131" s="172">
        <f t="shared" si="55"/>
        <v>0</v>
      </c>
      <c r="AC131" s="51"/>
      <c r="AD131" s="51"/>
      <c r="AE131" s="51"/>
      <c r="AF131" s="51"/>
      <c r="AG131" s="51"/>
      <c r="AH131" s="51"/>
      <c r="AI131" s="345">
        <f>(L131+M131)/J131</f>
        <v>0.23684210526315788</v>
      </c>
      <c r="AJ131" s="346">
        <f t="shared" si="42"/>
        <v>0</v>
      </c>
      <c r="AK131" s="93" t="s">
        <v>73</v>
      </c>
      <c r="AL131" s="202" t="s">
        <v>75</v>
      </c>
      <c r="AM131" s="186" t="s">
        <v>104</v>
      </c>
      <c r="AN131" s="202" t="s">
        <v>84</v>
      </c>
      <c r="AO131" s="186" t="s">
        <v>96</v>
      </c>
      <c r="AP131" s="280"/>
      <c r="AQ131" s="280"/>
      <c r="AR131" s="280"/>
      <c r="AS131" s="476">
        <v>1.5</v>
      </c>
      <c r="AT131" s="244">
        <v>1.3120000000000001</v>
      </c>
      <c r="AU131" s="280"/>
      <c r="AV131" s="246"/>
      <c r="AW131" s="127">
        <f t="shared" si="44"/>
        <v>2.8120000000000003</v>
      </c>
      <c r="AX131" s="290"/>
      <c r="AY131" s="290"/>
      <c r="AZ131" s="195"/>
      <c r="BA131" s="129">
        <f t="shared" si="56"/>
        <v>2.8120000000000003</v>
      </c>
      <c r="BB131" s="129">
        <f t="shared" si="43"/>
        <v>7.400000000000001E-2</v>
      </c>
      <c r="BC131" s="54">
        <v>40</v>
      </c>
      <c r="BD131" s="54">
        <v>45</v>
      </c>
      <c r="BE131" s="54">
        <v>0</v>
      </c>
      <c r="BF131" s="54">
        <v>30</v>
      </c>
      <c r="BG131" s="54">
        <v>0</v>
      </c>
      <c r="BH131" s="54">
        <v>0</v>
      </c>
      <c r="BI131" s="31">
        <f t="shared" si="48"/>
        <v>85</v>
      </c>
      <c r="BJ131" s="31">
        <f t="shared" si="57"/>
        <v>30</v>
      </c>
      <c r="BK131" s="32">
        <f t="shared" si="50"/>
        <v>0</v>
      </c>
      <c r="BL131" s="362">
        <f t="shared" si="51"/>
        <v>115</v>
      </c>
      <c r="BM131" s="373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</row>
    <row r="132" spans="1:87" ht="12.75" customHeight="1">
      <c r="A132" s="321" t="s">
        <v>385</v>
      </c>
      <c r="B132" s="607" t="s">
        <v>386</v>
      </c>
      <c r="C132" s="52" t="s">
        <v>387</v>
      </c>
      <c r="D132" s="47" t="s">
        <v>69</v>
      </c>
      <c r="E132" s="76" t="s">
        <v>488</v>
      </c>
      <c r="F132" s="194" t="s">
        <v>81</v>
      </c>
      <c r="G132" s="194" t="s">
        <v>81</v>
      </c>
      <c r="H132" s="194" t="s">
        <v>71</v>
      </c>
      <c r="I132" s="410" t="s">
        <v>104</v>
      </c>
      <c r="J132" s="415">
        <v>30</v>
      </c>
      <c r="K132" s="236">
        <v>21</v>
      </c>
      <c r="L132" s="236">
        <v>7</v>
      </c>
      <c r="M132" s="222">
        <v>2</v>
      </c>
      <c r="N132" s="172">
        <f t="shared" si="53"/>
        <v>21</v>
      </c>
      <c r="O132" s="336">
        <v>0</v>
      </c>
      <c r="P132" s="336">
        <v>10</v>
      </c>
      <c r="Q132" s="336">
        <v>9</v>
      </c>
      <c r="R132" s="336">
        <v>2</v>
      </c>
      <c r="S132" s="336">
        <v>0</v>
      </c>
      <c r="T132" s="336">
        <v>0</v>
      </c>
      <c r="U132" s="172">
        <f t="shared" si="54"/>
        <v>7</v>
      </c>
      <c r="V132" s="336">
        <v>0</v>
      </c>
      <c r="W132" s="336">
        <v>7</v>
      </c>
      <c r="X132" s="336">
        <v>0</v>
      </c>
      <c r="Y132" s="336">
        <v>0</v>
      </c>
      <c r="Z132" s="336">
        <v>0</v>
      </c>
      <c r="AA132" s="336">
        <v>0</v>
      </c>
      <c r="AB132" s="172">
        <f t="shared" si="55"/>
        <v>2</v>
      </c>
      <c r="AC132" s="60">
        <v>0</v>
      </c>
      <c r="AD132" s="60">
        <v>2</v>
      </c>
      <c r="AE132" s="60">
        <v>0</v>
      </c>
      <c r="AF132" s="60">
        <v>0</v>
      </c>
      <c r="AG132" s="60">
        <v>0</v>
      </c>
      <c r="AH132" s="60">
        <v>0</v>
      </c>
      <c r="AI132" s="347">
        <f>(U132+AB132)/J132</f>
        <v>0.3</v>
      </c>
      <c r="AJ132" s="346">
        <f t="shared" si="42"/>
        <v>6.6666666666666666E-2</v>
      </c>
      <c r="AK132" s="52" t="s">
        <v>73</v>
      </c>
      <c r="AL132" s="194" t="s">
        <v>71</v>
      </c>
      <c r="AM132" s="194" t="s">
        <v>110</v>
      </c>
      <c r="AN132" s="194" t="s">
        <v>75</v>
      </c>
      <c r="AO132" s="185" t="s">
        <v>104</v>
      </c>
      <c r="AP132" s="248"/>
      <c r="AQ132" s="248"/>
      <c r="AR132" s="248">
        <v>1.6247499999999999</v>
      </c>
      <c r="AS132" s="248"/>
      <c r="AT132" s="248"/>
      <c r="AU132" s="248"/>
      <c r="AV132" s="248"/>
      <c r="AW132" s="127">
        <f t="shared" si="44"/>
        <v>1.6247499999999999</v>
      </c>
      <c r="AX132" s="286"/>
      <c r="AY132" s="286">
        <v>0.14499999999999999</v>
      </c>
      <c r="AZ132" s="298"/>
      <c r="BA132" s="91">
        <f t="shared" si="56"/>
        <v>1.7697499999999999</v>
      </c>
      <c r="BB132" s="129">
        <f t="shared" si="43"/>
        <v>5.8991666666666664E-2</v>
      </c>
      <c r="BC132" s="40">
        <v>40</v>
      </c>
      <c r="BD132" s="54">
        <v>45</v>
      </c>
      <c r="BE132" s="82">
        <v>50</v>
      </c>
      <c r="BF132" s="82">
        <v>30</v>
      </c>
      <c r="BG132" s="82">
        <v>0</v>
      </c>
      <c r="BH132" s="82">
        <v>0</v>
      </c>
      <c r="BI132" s="31">
        <f t="shared" si="48"/>
        <v>85</v>
      </c>
      <c r="BJ132" s="31">
        <f t="shared" si="57"/>
        <v>80</v>
      </c>
      <c r="BK132" s="32">
        <f t="shared" si="50"/>
        <v>0</v>
      </c>
      <c r="BL132" s="362">
        <f t="shared" si="51"/>
        <v>165</v>
      </c>
      <c r="BM132" s="365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</row>
    <row r="133" spans="1:87" ht="12.75" customHeight="1">
      <c r="A133" s="320" t="s">
        <v>388</v>
      </c>
      <c r="B133" s="615" t="s">
        <v>389</v>
      </c>
      <c r="C133" s="42" t="s">
        <v>387</v>
      </c>
      <c r="D133" s="58" t="s">
        <v>69</v>
      </c>
      <c r="E133" s="76" t="s">
        <v>488</v>
      </c>
      <c r="F133" s="173" t="s">
        <v>81</v>
      </c>
      <c r="G133" s="173" t="s">
        <v>81</v>
      </c>
      <c r="H133" s="170" t="s">
        <v>109</v>
      </c>
      <c r="I133" s="193" t="s">
        <v>104</v>
      </c>
      <c r="J133" s="217">
        <v>45</v>
      </c>
      <c r="K133" s="216">
        <v>32</v>
      </c>
      <c r="L133" s="216">
        <v>11</v>
      </c>
      <c r="M133" s="216">
        <v>2</v>
      </c>
      <c r="N133" s="172">
        <v>36</v>
      </c>
      <c r="O133" s="332">
        <v>0</v>
      </c>
      <c r="P133" s="332">
        <v>14</v>
      </c>
      <c r="Q133" s="332">
        <v>14</v>
      </c>
      <c r="R133" s="332">
        <v>3</v>
      </c>
      <c r="S133" s="332">
        <v>0</v>
      </c>
      <c r="T133" s="332">
        <v>0</v>
      </c>
      <c r="U133" s="172">
        <f t="shared" si="54"/>
        <v>11</v>
      </c>
      <c r="V133" s="332">
        <v>0</v>
      </c>
      <c r="W133" s="332">
        <v>10</v>
      </c>
      <c r="X133" s="332">
        <v>0</v>
      </c>
      <c r="Y133" s="332">
        <v>0</v>
      </c>
      <c r="Z133" s="332">
        <v>1</v>
      </c>
      <c r="AA133" s="332">
        <v>0</v>
      </c>
      <c r="AB133" s="172">
        <f t="shared" si="55"/>
        <v>3</v>
      </c>
      <c r="AC133" s="43">
        <v>0</v>
      </c>
      <c r="AD133" s="43">
        <v>2</v>
      </c>
      <c r="AE133" s="43">
        <v>1</v>
      </c>
      <c r="AF133" s="43">
        <v>0</v>
      </c>
      <c r="AG133" s="43">
        <v>0</v>
      </c>
      <c r="AH133" s="43">
        <v>0</v>
      </c>
      <c r="AI133" s="345">
        <f>(L133+M133)/J133</f>
        <v>0.28888888888888886</v>
      </c>
      <c r="AJ133" s="346">
        <f t="shared" si="42"/>
        <v>6.6666666666666666E-2</v>
      </c>
      <c r="AK133" s="42" t="s">
        <v>83</v>
      </c>
      <c r="AL133" s="169" t="s">
        <v>109</v>
      </c>
      <c r="AM133" s="193" t="s">
        <v>104</v>
      </c>
      <c r="AN133" s="169" t="s">
        <v>71</v>
      </c>
      <c r="AO133" s="193" t="s">
        <v>97</v>
      </c>
      <c r="AP133" s="273"/>
      <c r="AQ133" s="272">
        <v>1.2549999999999999</v>
      </c>
      <c r="AR133" s="271">
        <v>0.7</v>
      </c>
      <c r="AS133" s="272"/>
      <c r="AT133" s="272"/>
      <c r="AU133" s="272"/>
      <c r="AV133" s="272"/>
      <c r="AW133" s="127">
        <f t="shared" si="44"/>
        <v>1.9549999999999998</v>
      </c>
      <c r="AX133" s="358">
        <v>0.7</v>
      </c>
      <c r="AY133" s="298"/>
      <c r="AZ133" s="279"/>
      <c r="BA133" s="38">
        <f t="shared" si="56"/>
        <v>2.6549999999999998</v>
      </c>
      <c r="BB133" s="129">
        <f t="shared" si="43"/>
        <v>5.8999999999999997E-2</v>
      </c>
      <c r="BC133" s="40">
        <v>40</v>
      </c>
      <c r="BD133" s="54">
        <v>45</v>
      </c>
      <c r="BE133" s="40">
        <v>30</v>
      </c>
      <c r="BF133" s="40">
        <v>30</v>
      </c>
      <c r="BG133" s="40">
        <v>0</v>
      </c>
      <c r="BH133" s="40">
        <v>0</v>
      </c>
      <c r="BI133" s="31">
        <f t="shared" si="48"/>
        <v>85</v>
      </c>
      <c r="BJ133" s="31">
        <f t="shared" si="57"/>
        <v>60</v>
      </c>
      <c r="BK133" s="32">
        <f t="shared" si="50"/>
        <v>0</v>
      </c>
      <c r="BL133" s="362">
        <f t="shared" si="51"/>
        <v>145</v>
      </c>
      <c r="BM133" s="369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</row>
    <row r="134" spans="1:87" ht="12.75" customHeight="1">
      <c r="A134" s="320" t="s">
        <v>390</v>
      </c>
      <c r="B134" s="303" t="s">
        <v>329</v>
      </c>
      <c r="C134" s="42" t="s">
        <v>387</v>
      </c>
      <c r="D134" s="58" t="s">
        <v>69</v>
      </c>
      <c r="E134" s="76" t="s">
        <v>488</v>
      </c>
      <c r="F134" s="173" t="s">
        <v>70</v>
      </c>
      <c r="G134" s="173" t="s">
        <v>70</v>
      </c>
      <c r="H134" s="170" t="s">
        <v>103</v>
      </c>
      <c r="I134" s="193" t="s">
        <v>97</v>
      </c>
      <c r="J134" s="217">
        <v>23</v>
      </c>
      <c r="K134" s="222">
        <v>23</v>
      </c>
      <c r="L134" s="222">
        <v>0</v>
      </c>
      <c r="M134" s="222">
        <v>0</v>
      </c>
      <c r="N134" s="172">
        <f t="shared" si="53"/>
        <v>23</v>
      </c>
      <c r="O134" s="332"/>
      <c r="P134" s="336">
        <v>23</v>
      </c>
      <c r="Q134" s="332"/>
      <c r="R134" s="332"/>
      <c r="S134" s="332"/>
      <c r="T134" s="332"/>
      <c r="U134" s="172">
        <f t="shared" si="54"/>
        <v>0</v>
      </c>
      <c r="V134" s="332"/>
      <c r="W134" s="332"/>
      <c r="X134" s="332"/>
      <c r="Y134" s="332"/>
      <c r="Z134" s="332"/>
      <c r="AA134" s="332"/>
      <c r="AB134" s="172">
        <f t="shared" si="55"/>
        <v>0</v>
      </c>
      <c r="AC134" s="43"/>
      <c r="AD134" s="43"/>
      <c r="AE134" s="43"/>
      <c r="AF134" s="43"/>
      <c r="AG134" s="43"/>
      <c r="AH134" s="43"/>
      <c r="AI134" s="345">
        <f>(L134+M134)/J134</f>
        <v>0</v>
      </c>
      <c r="AJ134" s="346">
        <f t="shared" si="42"/>
        <v>0</v>
      </c>
      <c r="AK134" s="46" t="s">
        <v>73</v>
      </c>
      <c r="AL134" s="169" t="s">
        <v>114</v>
      </c>
      <c r="AM134" s="193" t="s">
        <v>90</v>
      </c>
      <c r="AN134" s="169" t="s">
        <v>109</v>
      </c>
      <c r="AO134" s="193" t="s">
        <v>169</v>
      </c>
      <c r="AP134" s="271">
        <v>1.7470000000000001</v>
      </c>
      <c r="AQ134" s="253"/>
      <c r="AR134" s="271"/>
      <c r="AS134" s="253"/>
      <c r="AT134" s="253"/>
      <c r="AU134" s="253"/>
      <c r="AV134" s="175"/>
      <c r="AW134" s="127">
        <f t="shared" si="44"/>
        <v>1.7470000000000001</v>
      </c>
      <c r="AX134" s="177"/>
      <c r="AY134" s="177"/>
      <c r="AZ134" s="279"/>
      <c r="BA134" s="129">
        <f t="shared" si="56"/>
        <v>1.7470000000000001</v>
      </c>
      <c r="BB134" s="129">
        <f t="shared" si="43"/>
        <v>7.5956521739130436E-2</v>
      </c>
      <c r="BC134" s="40">
        <v>40</v>
      </c>
      <c r="BD134" s="40">
        <v>45</v>
      </c>
      <c r="BE134" s="40">
        <v>80</v>
      </c>
      <c r="BF134" s="40">
        <v>70</v>
      </c>
      <c r="BG134" s="40">
        <v>0</v>
      </c>
      <c r="BH134" s="40">
        <v>0</v>
      </c>
      <c r="BI134" s="31">
        <f t="shared" si="48"/>
        <v>85</v>
      </c>
      <c r="BJ134" s="31">
        <f t="shared" si="57"/>
        <v>150</v>
      </c>
      <c r="BK134" s="32">
        <f t="shared" si="50"/>
        <v>0</v>
      </c>
      <c r="BL134" s="362">
        <f t="shared" si="51"/>
        <v>235</v>
      </c>
      <c r="BM134" s="367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</row>
    <row r="135" spans="1:87" ht="12.75" customHeight="1">
      <c r="A135" s="326" t="s">
        <v>117</v>
      </c>
      <c r="B135" s="601" t="s">
        <v>392</v>
      </c>
      <c r="C135" s="48" t="s">
        <v>387</v>
      </c>
      <c r="D135" s="450" t="s">
        <v>69</v>
      </c>
      <c r="E135" s="462" t="s">
        <v>488</v>
      </c>
      <c r="F135" s="580" t="s">
        <v>164</v>
      </c>
      <c r="G135" s="202" t="s">
        <v>164</v>
      </c>
      <c r="H135" s="203" t="s">
        <v>89</v>
      </c>
      <c r="I135" s="195" t="s">
        <v>85</v>
      </c>
      <c r="J135" s="239">
        <v>0</v>
      </c>
      <c r="K135" s="237">
        <v>18</v>
      </c>
      <c r="L135" s="237">
        <v>6</v>
      </c>
      <c r="M135" s="237">
        <v>1</v>
      </c>
      <c r="N135" s="338">
        <v>0</v>
      </c>
      <c r="O135" s="333"/>
      <c r="P135" s="333"/>
      <c r="Q135" s="333"/>
      <c r="R135" s="333"/>
      <c r="S135" s="333"/>
      <c r="T135" s="333"/>
      <c r="U135" s="338">
        <v>0</v>
      </c>
      <c r="V135" s="333"/>
      <c r="W135" s="333"/>
      <c r="X135" s="333"/>
      <c r="Y135" s="333"/>
      <c r="Z135" s="333"/>
      <c r="AA135" s="333"/>
      <c r="AB135" s="338">
        <v>0</v>
      </c>
      <c r="AC135" s="51"/>
      <c r="AD135" s="51"/>
      <c r="AE135" s="51"/>
      <c r="AF135" s="51"/>
      <c r="AG135" s="51"/>
      <c r="AH135" s="51"/>
      <c r="AI135" s="345">
        <v>0</v>
      </c>
      <c r="AJ135" s="346">
        <v>0</v>
      </c>
      <c r="AK135" s="93" t="s">
        <v>73</v>
      </c>
      <c r="AL135" s="202" t="s">
        <v>89</v>
      </c>
      <c r="AM135" s="195" t="s">
        <v>90</v>
      </c>
      <c r="AN135" s="202" t="s">
        <v>133</v>
      </c>
      <c r="AO135" s="195" t="s">
        <v>90</v>
      </c>
      <c r="AP135" s="244"/>
      <c r="AQ135" s="244"/>
      <c r="AR135" s="244"/>
      <c r="AS135" s="244"/>
      <c r="AT135" s="244"/>
      <c r="AU135" s="244">
        <v>1.35</v>
      </c>
      <c r="AV135" s="244">
        <v>0.5</v>
      </c>
      <c r="AW135" s="127">
        <f t="shared" si="44"/>
        <v>1.85</v>
      </c>
      <c r="AX135" s="178"/>
      <c r="AY135" s="178"/>
      <c r="AZ135" s="195"/>
      <c r="BA135" s="38">
        <f t="shared" si="56"/>
        <v>1.85</v>
      </c>
      <c r="BB135" s="129">
        <f>BA135/25</f>
        <v>7.400000000000001E-2</v>
      </c>
      <c r="BC135" s="54">
        <v>40</v>
      </c>
      <c r="BD135" s="53">
        <v>45</v>
      </c>
      <c r="BE135" s="54">
        <v>0</v>
      </c>
      <c r="BF135" s="54">
        <v>30</v>
      </c>
      <c r="BG135" s="54">
        <v>0</v>
      </c>
      <c r="BH135" s="54">
        <v>0</v>
      </c>
      <c r="BI135" s="31">
        <f t="shared" ref="BI135:BI154" si="58">BC135+BD135</f>
        <v>85</v>
      </c>
      <c r="BJ135" s="31">
        <f t="shared" si="57"/>
        <v>30</v>
      </c>
      <c r="BK135" s="32">
        <f t="shared" ref="BK135:BK154" si="59">BG135+BH135</f>
        <v>0</v>
      </c>
      <c r="BL135" s="362">
        <f t="shared" ref="BL135:BL154" si="60">SUM(BI135:BK135)</f>
        <v>115</v>
      </c>
      <c r="BM135" s="465" t="s">
        <v>493</v>
      </c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</row>
    <row r="136" spans="1:87" ht="12.75" customHeight="1">
      <c r="A136" s="318" t="s">
        <v>393</v>
      </c>
      <c r="B136" s="608" t="s">
        <v>394</v>
      </c>
      <c r="C136" s="48" t="s">
        <v>395</v>
      </c>
      <c r="D136" s="45" t="s">
        <v>112</v>
      </c>
      <c r="E136" s="379" t="s">
        <v>488</v>
      </c>
      <c r="F136" s="584" t="s">
        <v>81</v>
      </c>
      <c r="G136" s="576" t="s">
        <v>81</v>
      </c>
      <c r="H136" s="195" t="s">
        <v>109</v>
      </c>
      <c r="I136" s="171" t="s">
        <v>115</v>
      </c>
      <c r="J136" s="220">
        <v>33</v>
      </c>
      <c r="K136" s="216">
        <v>23</v>
      </c>
      <c r="L136" s="216">
        <v>8</v>
      </c>
      <c r="M136" s="216">
        <v>2</v>
      </c>
      <c r="N136" s="172">
        <v>18</v>
      </c>
      <c r="O136" s="332">
        <v>0</v>
      </c>
      <c r="P136" s="332">
        <v>11</v>
      </c>
      <c r="Q136" s="332">
        <v>10</v>
      </c>
      <c r="R136" s="332">
        <v>2</v>
      </c>
      <c r="S136" s="332">
        <v>0</v>
      </c>
      <c r="T136" s="332">
        <v>0</v>
      </c>
      <c r="U136" s="172">
        <v>13</v>
      </c>
      <c r="V136" s="332">
        <v>0</v>
      </c>
      <c r="W136" s="332">
        <v>8</v>
      </c>
      <c r="X136" s="332">
        <v>0</v>
      </c>
      <c r="Y136" s="332">
        <v>0</v>
      </c>
      <c r="Z136" s="332">
        <v>0</v>
      </c>
      <c r="AA136" s="332">
        <v>0</v>
      </c>
      <c r="AB136" s="172">
        <f t="shared" ref="AB136:AB154" si="61">SUM(AC136:AH136)</f>
        <v>2</v>
      </c>
      <c r="AC136" s="43">
        <v>0</v>
      </c>
      <c r="AD136" s="43">
        <v>2</v>
      </c>
      <c r="AE136" s="43">
        <v>0</v>
      </c>
      <c r="AF136" s="43">
        <v>0</v>
      </c>
      <c r="AG136" s="43">
        <v>0</v>
      </c>
      <c r="AH136" s="43">
        <v>0</v>
      </c>
      <c r="AI136" s="345">
        <f>(U136+AB136)/J136</f>
        <v>0.45454545454545453</v>
      </c>
      <c r="AJ136" s="346">
        <f>AB136/J136</f>
        <v>6.0606060606060608E-2</v>
      </c>
      <c r="AK136" s="46" t="s">
        <v>73</v>
      </c>
      <c r="AL136" s="195" t="s">
        <v>109</v>
      </c>
      <c r="AM136" s="195" t="s">
        <v>115</v>
      </c>
      <c r="AN136" s="195" t="s">
        <v>71</v>
      </c>
      <c r="AO136" s="173" t="s">
        <v>96</v>
      </c>
      <c r="AP136" s="248"/>
      <c r="AQ136" s="248">
        <v>0.97299999999999998</v>
      </c>
      <c r="AR136" s="248">
        <v>0.97399999999999998</v>
      </c>
      <c r="AS136" s="248"/>
      <c r="AT136" s="248"/>
      <c r="AU136" s="248"/>
      <c r="AV136" s="248"/>
      <c r="AW136" s="27">
        <f>SUM(AP136:AV136)</f>
        <v>1.9470000000000001</v>
      </c>
      <c r="AX136" s="286"/>
      <c r="AY136" s="286"/>
      <c r="AZ136" s="176"/>
      <c r="BA136" s="38">
        <f t="shared" si="56"/>
        <v>1.9470000000000001</v>
      </c>
      <c r="BB136" s="129">
        <f t="shared" si="43"/>
        <v>5.9000000000000004E-2</v>
      </c>
      <c r="BC136" s="40">
        <v>40</v>
      </c>
      <c r="BD136" s="54">
        <v>0</v>
      </c>
      <c r="BE136" s="54">
        <v>0</v>
      </c>
      <c r="BF136" s="54">
        <v>10</v>
      </c>
      <c r="BG136" s="54">
        <v>0</v>
      </c>
      <c r="BH136" s="54">
        <v>0</v>
      </c>
      <c r="BI136" s="31">
        <f t="shared" si="58"/>
        <v>40</v>
      </c>
      <c r="BJ136" s="31">
        <f t="shared" si="57"/>
        <v>10</v>
      </c>
      <c r="BK136" s="32">
        <f t="shared" si="59"/>
        <v>0</v>
      </c>
      <c r="BL136" s="362">
        <f t="shared" si="60"/>
        <v>50</v>
      </c>
      <c r="BM136" s="366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</row>
    <row r="137" spans="1:87" ht="12.75" customHeight="1">
      <c r="A137" s="320" t="s">
        <v>396</v>
      </c>
      <c r="B137" s="610" t="s">
        <v>397</v>
      </c>
      <c r="C137" s="42" t="s">
        <v>398</v>
      </c>
      <c r="D137" s="62" t="s">
        <v>95</v>
      </c>
      <c r="E137" s="585" t="s">
        <v>490</v>
      </c>
      <c r="F137" s="586" t="s">
        <v>119</v>
      </c>
      <c r="G137" s="577" t="s">
        <v>81</v>
      </c>
      <c r="H137" s="194" t="s">
        <v>109</v>
      </c>
      <c r="I137" s="193" t="s">
        <v>104</v>
      </c>
      <c r="J137" s="220">
        <v>30</v>
      </c>
      <c r="K137" s="216">
        <v>21</v>
      </c>
      <c r="L137" s="216">
        <v>5</v>
      </c>
      <c r="M137" s="216">
        <v>4</v>
      </c>
      <c r="N137" s="172">
        <f t="shared" ref="N137:N154" si="62">SUM(O137:T137)</f>
        <v>21</v>
      </c>
      <c r="O137" s="332">
        <v>0</v>
      </c>
      <c r="P137" s="332">
        <v>3</v>
      </c>
      <c r="Q137" s="332">
        <v>14</v>
      </c>
      <c r="R137" s="332">
        <v>4</v>
      </c>
      <c r="S137" s="332">
        <v>0</v>
      </c>
      <c r="T137" s="332">
        <v>0</v>
      </c>
      <c r="U137" s="172">
        <f t="shared" ref="U137:U154" si="63">SUM(V137:AA137)</f>
        <v>5</v>
      </c>
      <c r="V137" s="332">
        <v>0</v>
      </c>
      <c r="W137" s="332">
        <v>4</v>
      </c>
      <c r="X137" s="332">
        <v>0</v>
      </c>
      <c r="Y137" s="332">
        <v>0</v>
      </c>
      <c r="Z137" s="332">
        <v>1</v>
      </c>
      <c r="AA137" s="332">
        <v>0</v>
      </c>
      <c r="AB137" s="172">
        <f t="shared" si="61"/>
        <v>4</v>
      </c>
      <c r="AC137" s="43">
        <v>0</v>
      </c>
      <c r="AD137" s="43">
        <v>3</v>
      </c>
      <c r="AE137" s="43">
        <v>1</v>
      </c>
      <c r="AF137" s="43">
        <v>0</v>
      </c>
      <c r="AG137" s="43">
        <v>0</v>
      </c>
      <c r="AH137" s="43">
        <v>0</v>
      </c>
      <c r="AI137" s="345">
        <f>(L137+M137)/J137</f>
        <v>0.3</v>
      </c>
      <c r="AJ137" s="346">
        <f>AB137/J137</f>
        <v>0.13333333333333333</v>
      </c>
      <c r="AK137" s="42" t="s">
        <v>83</v>
      </c>
      <c r="AL137" s="169" t="s">
        <v>109</v>
      </c>
      <c r="AM137" s="193" t="s">
        <v>104</v>
      </c>
      <c r="AN137" s="169" t="s">
        <v>71</v>
      </c>
      <c r="AO137" s="193" t="s">
        <v>169</v>
      </c>
      <c r="AP137" s="248"/>
      <c r="AQ137" s="248">
        <v>1</v>
      </c>
      <c r="AR137" s="248">
        <v>0.77</v>
      </c>
      <c r="AS137" s="248"/>
      <c r="AT137" s="248"/>
      <c r="AU137" s="248"/>
      <c r="AV137" s="248"/>
      <c r="AW137" s="127">
        <f t="shared" ref="AW137:AW154" si="64">SUM(AP137:AV137)</f>
        <v>1.77</v>
      </c>
      <c r="AX137" s="286"/>
      <c r="AY137" s="286"/>
      <c r="AZ137" s="279"/>
      <c r="BA137" s="38">
        <f t="shared" si="56"/>
        <v>1.77</v>
      </c>
      <c r="BB137" s="129">
        <f t="shared" si="43"/>
        <v>5.9000000000000004E-2</v>
      </c>
      <c r="BC137" s="61">
        <v>20</v>
      </c>
      <c r="BD137" s="54">
        <v>15</v>
      </c>
      <c r="BE137" s="40">
        <v>0</v>
      </c>
      <c r="BF137" s="40">
        <v>30</v>
      </c>
      <c r="BG137" s="40">
        <v>0</v>
      </c>
      <c r="BH137" s="40">
        <v>0</v>
      </c>
      <c r="BI137" s="31">
        <f t="shared" si="58"/>
        <v>35</v>
      </c>
      <c r="BJ137" s="31">
        <f t="shared" si="57"/>
        <v>30</v>
      </c>
      <c r="BK137" s="32">
        <f t="shared" si="59"/>
        <v>0</v>
      </c>
      <c r="BL137" s="362">
        <f t="shared" si="60"/>
        <v>65</v>
      </c>
      <c r="BM137" s="365"/>
      <c r="BN137" s="1"/>
      <c r="BO137" s="80"/>
      <c r="BP137" s="9"/>
      <c r="BQ137" s="9"/>
      <c r="BR137" s="9"/>
      <c r="BS137" s="9"/>
      <c r="BT137" s="9"/>
      <c r="BU137" s="9"/>
      <c r="BV137" s="9"/>
      <c r="BW137" s="9"/>
      <c r="BX137" s="9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</row>
    <row r="138" spans="1:87" ht="12.75" customHeight="1">
      <c r="A138" s="318" t="s">
        <v>401</v>
      </c>
      <c r="B138" s="95" t="s">
        <v>402</v>
      </c>
      <c r="C138" s="76" t="s">
        <v>108</v>
      </c>
      <c r="D138" s="448" t="s">
        <v>108</v>
      </c>
      <c r="E138" s="463" t="s">
        <v>491</v>
      </c>
      <c r="F138" s="430" t="s">
        <v>70</v>
      </c>
      <c r="G138" s="173" t="s">
        <v>70</v>
      </c>
      <c r="H138" s="189" t="s">
        <v>84</v>
      </c>
      <c r="I138" s="171" t="s">
        <v>104</v>
      </c>
      <c r="J138" s="238">
        <v>40</v>
      </c>
      <c r="K138" s="216">
        <v>27</v>
      </c>
      <c r="L138" s="216">
        <v>12</v>
      </c>
      <c r="M138" s="216">
        <v>1</v>
      </c>
      <c r="N138" s="172">
        <f t="shared" si="62"/>
        <v>25</v>
      </c>
      <c r="O138" s="332"/>
      <c r="P138" s="332">
        <v>18</v>
      </c>
      <c r="Q138" s="332">
        <v>7</v>
      </c>
      <c r="R138" s="332"/>
      <c r="S138" s="332"/>
      <c r="T138" s="332"/>
      <c r="U138" s="172">
        <f t="shared" si="63"/>
        <v>14</v>
      </c>
      <c r="V138" s="332"/>
      <c r="W138" s="332">
        <v>9</v>
      </c>
      <c r="X138" s="332">
        <v>5</v>
      </c>
      <c r="Y138" s="332"/>
      <c r="Z138" s="332"/>
      <c r="AA138" s="332"/>
      <c r="AB138" s="172">
        <f t="shared" si="61"/>
        <v>1</v>
      </c>
      <c r="AC138" s="43"/>
      <c r="AD138" s="43">
        <v>1</v>
      </c>
      <c r="AE138" s="43"/>
      <c r="AF138" s="43"/>
      <c r="AG138" s="43"/>
      <c r="AH138" s="43"/>
      <c r="AI138" s="345">
        <f>(L138+M138)/J138</f>
        <v>0.32500000000000001</v>
      </c>
      <c r="AJ138" s="346">
        <f>AB138/J138</f>
        <v>2.5000000000000001E-2</v>
      </c>
      <c r="AK138" s="46" t="s">
        <v>73</v>
      </c>
      <c r="AL138" s="187" t="s">
        <v>84</v>
      </c>
      <c r="AM138" s="173" t="s">
        <v>104</v>
      </c>
      <c r="AN138" s="187" t="s">
        <v>89</v>
      </c>
      <c r="AO138" s="173" t="s">
        <v>97</v>
      </c>
      <c r="AP138" s="244"/>
      <c r="AQ138" s="244"/>
      <c r="AR138" s="244"/>
      <c r="AS138" s="477"/>
      <c r="AT138" s="244">
        <v>2</v>
      </c>
      <c r="AU138" s="244">
        <v>1.04</v>
      </c>
      <c r="AV138" s="244"/>
      <c r="AW138" s="127">
        <f t="shared" si="64"/>
        <v>3.04</v>
      </c>
      <c r="AX138" s="289"/>
      <c r="AY138" s="289"/>
      <c r="AZ138" s="176"/>
      <c r="BA138" s="38">
        <f t="shared" si="56"/>
        <v>3.04</v>
      </c>
      <c r="BB138" s="129">
        <f t="shared" si="43"/>
        <v>7.5999999999999998E-2</v>
      </c>
      <c r="BC138" s="57">
        <v>30</v>
      </c>
      <c r="BD138" s="54">
        <v>50</v>
      </c>
      <c r="BE138" s="54">
        <v>10</v>
      </c>
      <c r="BF138" s="54">
        <v>30</v>
      </c>
      <c r="BG138" s="65">
        <v>0</v>
      </c>
      <c r="BH138" s="54">
        <v>0</v>
      </c>
      <c r="BI138" s="31">
        <f t="shared" si="58"/>
        <v>80</v>
      </c>
      <c r="BJ138" s="31">
        <f t="shared" si="57"/>
        <v>40</v>
      </c>
      <c r="BK138" s="32">
        <f t="shared" si="59"/>
        <v>0</v>
      </c>
      <c r="BL138" s="362">
        <f t="shared" si="60"/>
        <v>120</v>
      </c>
      <c r="BM138" s="366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</row>
    <row r="139" spans="1:87" ht="12.75" customHeight="1">
      <c r="A139" s="318" t="s">
        <v>407</v>
      </c>
      <c r="B139" s="95" t="s">
        <v>408</v>
      </c>
      <c r="C139" s="308" t="s">
        <v>108</v>
      </c>
      <c r="D139" s="459" t="s">
        <v>108</v>
      </c>
      <c r="E139" s="581" t="s">
        <v>491</v>
      </c>
      <c r="F139" s="582" t="s">
        <v>70</v>
      </c>
      <c r="G139" s="207" t="s">
        <v>135</v>
      </c>
      <c r="H139" s="407" t="s">
        <v>84</v>
      </c>
      <c r="I139" s="413" t="s">
        <v>104</v>
      </c>
      <c r="J139" s="229">
        <v>20</v>
      </c>
      <c r="K139" s="240">
        <v>14</v>
      </c>
      <c r="L139" s="240">
        <v>6</v>
      </c>
      <c r="M139" s="240">
        <v>0</v>
      </c>
      <c r="N139" s="172">
        <f t="shared" si="62"/>
        <v>14</v>
      </c>
      <c r="O139" s="339"/>
      <c r="P139" s="339">
        <v>11</v>
      </c>
      <c r="Q139" s="339">
        <v>3</v>
      </c>
      <c r="R139" s="339"/>
      <c r="S139" s="339"/>
      <c r="T139" s="339"/>
      <c r="U139" s="172">
        <f t="shared" si="63"/>
        <v>6</v>
      </c>
      <c r="V139" s="339"/>
      <c r="W139" s="339">
        <v>6</v>
      </c>
      <c r="X139" s="339"/>
      <c r="Y139" s="339"/>
      <c r="Z139" s="339"/>
      <c r="AA139" s="339"/>
      <c r="AB139" s="172">
        <f t="shared" si="61"/>
        <v>0</v>
      </c>
      <c r="AC139" s="94"/>
      <c r="AD139" s="94"/>
      <c r="AE139" s="94"/>
      <c r="AF139" s="94"/>
      <c r="AG139" s="94"/>
      <c r="AH139" s="94"/>
      <c r="AI139" s="345">
        <f>(U139+AB139)/J139</f>
        <v>0.3</v>
      </c>
      <c r="AJ139" s="346">
        <f>AB139/J139</f>
        <v>0</v>
      </c>
      <c r="AK139" s="99" t="s">
        <v>136</v>
      </c>
      <c r="AL139" s="425" t="s">
        <v>84</v>
      </c>
      <c r="AM139" s="207" t="s">
        <v>104</v>
      </c>
      <c r="AN139" s="425" t="s">
        <v>89</v>
      </c>
      <c r="AO139" s="207" t="s">
        <v>97</v>
      </c>
      <c r="AP139" s="244"/>
      <c r="AQ139" s="244"/>
      <c r="AR139" s="244"/>
      <c r="AS139" s="253"/>
      <c r="AT139" s="244">
        <v>0.94</v>
      </c>
      <c r="AU139" s="244"/>
      <c r="AV139" s="246"/>
      <c r="AW139" s="127">
        <f t="shared" si="64"/>
        <v>0.94</v>
      </c>
      <c r="AX139" s="299"/>
      <c r="AY139" s="299"/>
      <c r="AZ139" s="299"/>
      <c r="BA139" s="38">
        <f t="shared" si="56"/>
        <v>0.94</v>
      </c>
      <c r="BB139" s="129">
        <f t="shared" si="43"/>
        <v>4.7E-2</v>
      </c>
      <c r="BC139" s="61">
        <v>30</v>
      </c>
      <c r="BD139" s="61">
        <v>50</v>
      </c>
      <c r="BE139" s="61">
        <v>10</v>
      </c>
      <c r="BF139" s="61">
        <v>30</v>
      </c>
      <c r="BG139" s="61">
        <v>0</v>
      </c>
      <c r="BH139" s="61">
        <v>0</v>
      </c>
      <c r="BI139" s="31">
        <f t="shared" si="58"/>
        <v>80</v>
      </c>
      <c r="BJ139" s="31">
        <f t="shared" si="57"/>
        <v>40</v>
      </c>
      <c r="BK139" s="32">
        <f t="shared" si="59"/>
        <v>0</v>
      </c>
      <c r="BL139" s="362">
        <f t="shared" si="60"/>
        <v>120</v>
      </c>
      <c r="BM139" s="366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</row>
    <row r="140" spans="1:87" ht="12.75" customHeight="1">
      <c r="A140" s="318" t="s">
        <v>409</v>
      </c>
      <c r="B140" s="624" t="s">
        <v>410</v>
      </c>
      <c r="C140" s="307" t="s">
        <v>108</v>
      </c>
      <c r="D140" s="575" t="s">
        <v>108</v>
      </c>
      <c r="E140" s="449" t="s">
        <v>491</v>
      </c>
      <c r="F140" s="584" t="s">
        <v>81</v>
      </c>
      <c r="G140" s="576" t="s">
        <v>81</v>
      </c>
      <c r="H140" s="409" t="s">
        <v>71</v>
      </c>
      <c r="I140" s="213" t="s">
        <v>110</v>
      </c>
      <c r="J140" s="242">
        <v>2</v>
      </c>
      <c r="K140" s="240">
        <v>0</v>
      </c>
      <c r="L140" s="240">
        <v>0</v>
      </c>
      <c r="M140" s="240">
        <v>2</v>
      </c>
      <c r="N140" s="172">
        <f t="shared" si="62"/>
        <v>0</v>
      </c>
      <c r="O140" s="339">
        <v>0</v>
      </c>
      <c r="P140" s="339">
        <v>0</v>
      </c>
      <c r="Q140" s="339">
        <v>0</v>
      </c>
      <c r="R140" s="339">
        <v>0</v>
      </c>
      <c r="S140" s="339">
        <v>0</v>
      </c>
      <c r="T140" s="339">
        <v>0</v>
      </c>
      <c r="U140" s="172">
        <f t="shared" si="63"/>
        <v>0</v>
      </c>
      <c r="V140" s="339">
        <v>0</v>
      </c>
      <c r="W140" s="339">
        <v>0</v>
      </c>
      <c r="X140" s="339">
        <v>0</v>
      </c>
      <c r="Y140" s="339">
        <v>0</v>
      </c>
      <c r="Z140" s="339">
        <v>0</v>
      </c>
      <c r="AA140" s="339">
        <v>0</v>
      </c>
      <c r="AB140" s="172">
        <f t="shared" si="61"/>
        <v>2</v>
      </c>
      <c r="AC140" s="94">
        <v>0</v>
      </c>
      <c r="AD140" s="94">
        <v>2</v>
      </c>
      <c r="AE140" s="94">
        <v>0</v>
      </c>
      <c r="AF140" s="94">
        <v>0</v>
      </c>
      <c r="AG140" s="94">
        <v>0</v>
      </c>
      <c r="AH140" s="94">
        <v>0</v>
      </c>
      <c r="AI140" s="348">
        <f>(U140+AB140)/J140</f>
        <v>1</v>
      </c>
      <c r="AJ140" s="346">
        <f>AB140/J140</f>
        <v>1</v>
      </c>
      <c r="AK140" s="99" t="s">
        <v>73</v>
      </c>
      <c r="AL140" s="428" t="s">
        <v>71</v>
      </c>
      <c r="AM140" s="428" t="s">
        <v>85</v>
      </c>
      <c r="AN140" s="352" t="s">
        <v>71</v>
      </c>
      <c r="AO140" s="355" t="s">
        <v>96</v>
      </c>
      <c r="AP140" s="248"/>
      <c r="AQ140" s="248">
        <v>0.11799999999999999</v>
      </c>
      <c r="AR140" s="248"/>
      <c r="AS140" s="248"/>
      <c r="AT140" s="248"/>
      <c r="AU140" s="248"/>
      <c r="AV140" s="248"/>
      <c r="AW140" s="127">
        <f t="shared" si="64"/>
        <v>0.11799999999999999</v>
      </c>
      <c r="AX140" s="286"/>
      <c r="AY140" s="286"/>
      <c r="AZ140" s="299"/>
      <c r="BA140" s="38">
        <f t="shared" si="56"/>
        <v>0.11799999999999999</v>
      </c>
      <c r="BB140" s="129">
        <f t="shared" ref="BB140:BB142" si="65">BA140/J140</f>
        <v>5.8999999999999997E-2</v>
      </c>
      <c r="BC140" s="39">
        <v>30</v>
      </c>
      <c r="BD140" s="54">
        <v>50</v>
      </c>
      <c r="BE140" s="61">
        <v>50</v>
      </c>
      <c r="BF140" s="61">
        <v>30</v>
      </c>
      <c r="BG140" s="61">
        <v>0</v>
      </c>
      <c r="BH140" s="61">
        <v>0</v>
      </c>
      <c r="BI140" s="31">
        <f t="shared" si="58"/>
        <v>80</v>
      </c>
      <c r="BJ140" s="31">
        <f t="shared" si="57"/>
        <v>80</v>
      </c>
      <c r="BK140" s="32">
        <f t="shared" si="59"/>
        <v>0</v>
      </c>
      <c r="BL140" s="362">
        <f t="shared" si="60"/>
        <v>160</v>
      </c>
      <c r="BM140" s="366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</row>
    <row r="141" spans="1:87" ht="12.75" customHeight="1">
      <c r="A141" s="318" t="s">
        <v>405</v>
      </c>
      <c r="B141" s="620" t="s">
        <v>406</v>
      </c>
      <c r="C141" s="98" t="s">
        <v>108</v>
      </c>
      <c r="D141" s="311" t="s">
        <v>108</v>
      </c>
      <c r="E141" s="449" t="s">
        <v>491</v>
      </c>
      <c r="F141" s="587" t="s">
        <v>81</v>
      </c>
      <c r="G141" s="460" t="s">
        <v>81</v>
      </c>
      <c r="H141" s="588" t="s">
        <v>84</v>
      </c>
      <c r="I141" s="413" t="s">
        <v>97</v>
      </c>
      <c r="J141" s="242">
        <v>0</v>
      </c>
      <c r="K141" s="241">
        <v>35</v>
      </c>
      <c r="L141" s="241">
        <v>12</v>
      </c>
      <c r="M141" s="241">
        <v>2</v>
      </c>
      <c r="N141" s="172">
        <f t="shared" si="62"/>
        <v>0</v>
      </c>
      <c r="O141" s="339"/>
      <c r="P141" s="339"/>
      <c r="Q141" s="339"/>
      <c r="R141" s="339"/>
      <c r="S141" s="339"/>
      <c r="T141" s="339"/>
      <c r="U141" s="172">
        <f t="shared" si="63"/>
        <v>0</v>
      </c>
      <c r="V141" s="339"/>
      <c r="W141" s="339"/>
      <c r="X141" s="339"/>
      <c r="Y141" s="339"/>
      <c r="Z141" s="339"/>
      <c r="AA141" s="339"/>
      <c r="AB141" s="172">
        <f t="shared" si="61"/>
        <v>0</v>
      </c>
      <c r="AC141" s="94"/>
      <c r="AD141" s="94"/>
      <c r="AE141" s="94"/>
      <c r="AF141" s="94"/>
      <c r="AG141" s="94"/>
      <c r="AH141" s="94"/>
      <c r="AI141" s="345">
        <v>0</v>
      </c>
      <c r="AJ141" s="346">
        <v>0</v>
      </c>
      <c r="AK141" s="99" t="s">
        <v>73</v>
      </c>
      <c r="AL141" s="425" t="s">
        <v>89</v>
      </c>
      <c r="AM141" s="207" t="s">
        <v>104</v>
      </c>
      <c r="AN141" s="425" t="s">
        <v>133</v>
      </c>
      <c r="AO141" s="207" t="s">
        <v>97</v>
      </c>
      <c r="AP141" s="248"/>
      <c r="AQ141" s="248"/>
      <c r="AR141" s="248"/>
      <c r="AS141" s="248"/>
      <c r="AT141" s="248"/>
      <c r="AU141" s="248">
        <v>2</v>
      </c>
      <c r="AV141" s="248">
        <v>0.89100000000000001</v>
      </c>
      <c r="AW141" s="127">
        <f t="shared" si="64"/>
        <v>2.891</v>
      </c>
      <c r="AX141" s="286"/>
      <c r="AY141" s="286"/>
      <c r="AZ141" s="299"/>
      <c r="BA141" s="38">
        <f t="shared" si="56"/>
        <v>2.891</v>
      </c>
      <c r="BB141" s="129">
        <f>BA141/49</f>
        <v>5.8999999999999997E-2</v>
      </c>
      <c r="BC141" s="39">
        <v>30</v>
      </c>
      <c r="BD141" s="54">
        <v>50</v>
      </c>
      <c r="BE141" s="61">
        <v>50</v>
      </c>
      <c r="BF141" s="61">
        <v>70</v>
      </c>
      <c r="BG141" s="61">
        <v>0</v>
      </c>
      <c r="BH141" s="61">
        <v>20</v>
      </c>
      <c r="BI141" s="31">
        <f t="shared" si="58"/>
        <v>80</v>
      </c>
      <c r="BJ141" s="31">
        <f t="shared" si="57"/>
        <v>120</v>
      </c>
      <c r="BK141" s="32">
        <f t="shared" si="59"/>
        <v>20</v>
      </c>
      <c r="BL141" s="362">
        <f t="shared" si="60"/>
        <v>220</v>
      </c>
      <c r="BM141" s="366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</row>
    <row r="142" spans="1:87" ht="12.75" customHeight="1">
      <c r="A142" s="318" t="s">
        <v>399</v>
      </c>
      <c r="B142" s="614" t="s">
        <v>400</v>
      </c>
      <c r="C142" s="78" t="s">
        <v>108</v>
      </c>
      <c r="D142" s="83" t="s">
        <v>108</v>
      </c>
      <c r="E142" s="449" t="s">
        <v>491</v>
      </c>
      <c r="F142" s="587" t="s">
        <v>81</v>
      </c>
      <c r="G142" s="578" t="s">
        <v>81</v>
      </c>
      <c r="H142" s="209" t="s">
        <v>75</v>
      </c>
      <c r="I142" s="190" t="s">
        <v>90</v>
      </c>
      <c r="J142" s="224">
        <v>40</v>
      </c>
      <c r="K142" s="216">
        <v>28</v>
      </c>
      <c r="L142" s="216">
        <v>10</v>
      </c>
      <c r="M142" s="228">
        <v>2</v>
      </c>
      <c r="N142" s="172">
        <f t="shared" si="62"/>
        <v>28</v>
      </c>
      <c r="O142" s="419">
        <v>0</v>
      </c>
      <c r="P142" s="419">
        <v>13</v>
      </c>
      <c r="Q142" s="419">
        <v>12</v>
      </c>
      <c r="R142" s="419">
        <v>3</v>
      </c>
      <c r="S142" s="419">
        <v>0</v>
      </c>
      <c r="T142" s="419">
        <v>0</v>
      </c>
      <c r="U142" s="172">
        <f t="shared" si="63"/>
        <v>10</v>
      </c>
      <c r="V142" s="331">
        <v>0</v>
      </c>
      <c r="W142" s="331">
        <v>9</v>
      </c>
      <c r="X142" s="331">
        <v>0</v>
      </c>
      <c r="Y142" s="331">
        <v>0</v>
      </c>
      <c r="Z142" s="331">
        <v>1</v>
      </c>
      <c r="AA142" s="331">
        <v>0</v>
      </c>
      <c r="AB142" s="172">
        <f t="shared" si="61"/>
        <v>2</v>
      </c>
      <c r="AC142" s="26">
        <v>0</v>
      </c>
      <c r="AD142" s="26">
        <v>2</v>
      </c>
      <c r="AE142" s="26">
        <v>0</v>
      </c>
      <c r="AF142" s="26">
        <v>0</v>
      </c>
      <c r="AG142" s="26">
        <v>0</v>
      </c>
      <c r="AH142" s="26">
        <v>0</v>
      </c>
      <c r="AI142" s="345">
        <f>(U142+AB142)/J142</f>
        <v>0.3</v>
      </c>
      <c r="AJ142" s="346">
        <f>AB142/J142</f>
        <v>0.05</v>
      </c>
      <c r="AK142" s="88" t="s">
        <v>73</v>
      </c>
      <c r="AL142" s="263" t="s">
        <v>75</v>
      </c>
      <c r="AM142" s="208" t="s">
        <v>90</v>
      </c>
      <c r="AN142" s="263" t="s">
        <v>84</v>
      </c>
      <c r="AO142" s="208" t="s">
        <v>96</v>
      </c>
      <c r="AP142" s="248"/>
      <c r="AQ142" s="248"/>
      <c r="AR142" s="248"/>
      <c r="AS142" s="272"/>
      <c r="AT142" s="271">
        <v>0.79900000000000004</v>
      </c>
      <c r="AU142" s="249">
        <v>0.79900000000000004</v>
      </c>
      <c r="AV142" s="248"/>
      <c r="AW142" s="127">
        <f t="shared" si="64"/>
        <v>1.5980000000000001</v>
      </c>
      <c r="AX142" s="293">
        <v>0.5</v>
      </c>
      <c r="AY142" s="286">
        <v>0.26190000000000002</v>
      </c>
      <c r="AZ142" s="292"/>
      <c r="BA142" s="38">
        <f t="shared" si="56"/>
        <v>2.3598999999999997</v>
      </c>
      <c r="BB142" s="129">
        <f t="shared" si="65"/>
        <v>5.8997499999999994E-2</v>
      </c>
      <c r="BC142" s="40">
        <v>30</v>
      </c>
      <c r="BD142" s="54">
        <v>50</v>
      </c>
      <c r="BE142" s="54">
        <v>0</v>
      </c>
      <c r="BF142" s="61">
        <v>10</v>
      </c>
      <c r="BG142" s="61">
        <v>0</v>
      </c>
      <c r="BH142" s="61">
        <v>20</v>
      </c>
      <c r="BI142" s="31">
        <f t="shared" si="58"/>
        <v>80</v>
      </c>
      <c r="BJ142" s="31">
        <f t="shared" si="57"/>
        <v>10</v>
      </c>
      <c r="BK142" s="32">
        <f t="shared" si="59"/>
        <v>20</v>
      </c>
      <c r="BL142" s="362">
        <f t="shared" si="60"/>
        <v>110</v>
      </c>
      <c r="BM142" s="365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</row>
    <row r="143" spans="1:87" ht="12.75" customHeight="1">
      <c r="A143" s="318" t="s">
        <v>403</v>
      </c>
      <c r="B143" s="614" t="s">
        <v>404</v>
      </c>
      <c r="C143" s="78" t="s">
        <v>108</v>
      </c>
      <c r="D143" s="83" t="s">
        <v>108</v>
      </c>
      <c r="E143" s="449" t="s">
        <v>491</v>
      </c>
      <c r="F143" s="587" t="s">
        <v>81</v>
      </c>
      <c r="G143" s="578" t="s">
        <v>81</v>
      </c>
      <c r="H143" s="408" t="s">
        <v>84</v>
      </c>
      <c r="I143" s="353" t="s">
        <v>82</v>
      </c>
      <c r="J143" s="224">
        <v>0</v>
      </c>
      <c r="K143" s="216">
        <v>28</v>
      </c>
      <c r="L143" s="216">
        <v>10</v>
      </c>
      <c r="M143" s="216">
        <v>2</v>
      </c>
      <c r="N143" s="172">
        <f t="shared" si="62"/>
        <v>0</v>
      </c>
      <c r="O143" s="331"/>
      <c r="P143" s="331"/>
      <c r="Q143" s="331"/>
      <c r="R143" s="331"/>
      <c r="S143" s="331"/>
      <c r="T143" s="331"/>
      <c r="U143" s="172">
        <f t="shared" si="63"/>
        <v>0</v>
      </c>
      <c r="V143" s="331"/>
      <c r="W143" s="331"/>
      <c r="X143" s="331"/>
      <c r="Y143" s="331"/>
      <c r="Z143" s="331"/>
      <c r="AA143" s="331"/>
      <c r="AB143" s="172">
        <f t="shared" si="61"/>
        <v>0</v>
      </c>
      <c r="AC143" s="26"/>
      <c r="AD143" s="26"/>
      <c r="AE143" s="26"/>
      <c r="AF143" s="26"/>
      <c r="AG143" s="26"/>
      <c r="AH143" s="26"/>
      <c r="AI143" s="346">
        <v>0</v>
      </c>
      <c r="AJ143" s="346">
        <v>0</v>
      </c>
      <c r="AK143" s="88" t="s">
        <v>73</v>
      </c>
      <c r="AL143" s="427" t="s">
        <v>84</v>
      </c>
      <c r="AM143" s="430" t="s">
        <v>82</v>
      </c>
      <c r="AN143" s="263" t="s">
        <v>133</v>
      </c>
      <c r="AO143" s="208" t="s">
        <v>110</v>
      </c>
      <c r="AP143" s="248"/>
      <c r="AQ143" s="248"/>
      <c r="AR143" s="248"/>
      <c r="AS143" s="248"/>
      <c r="AT143" s="248"/>
      <c r="AU143" s="248">
        <v>1.044</v>
      </c>
      <c r="AV143" s="248">
        <v>1.044</v>
      </c>
      <c r="AW143" s="127">
        <f t="shared" si="64"/>
        <v>2.0880000000000001</v>
      </c>
      <c r="AX143" s="286"/>
      <c r="AY143" s="286">
        <v>0.27279999999999999</v>
      </c>
      <c r="AZ143" s="292"/>
      <c r="BA143" s="38">
        <f t="shared" si="56"/>
        <v>2.3608000000000002</v>
      </c>
      <c r="BB143" s="129">
        <f>BA143/40</f>
        <v>5.9020000000000003E-2</v>
      </c>
      <c r="BC143" s="39">
        <v>30</v>
      </c>
      <c r="BD143" s="54">
        <v>50</v>
      </c>
      <c r="BE143" s="54">
        <v>0</v>
      </c>
      <c r="BF143" s="61">
        <v>10</v>
      </c>
      <c r="BG143" s="61">
        <v>0</v>
      </c>
      <c r="BH143" s="61">
        <v>20</v>
      </c>
      <c r="BI143" s="31">
        <f t="shared" si="58"/>
        <v>80</v>
      </c>
      <c r="BJ143" s="31">
        <f t="shared" si="57"/>
        <v>10</v>
      </c>
      <c r="BK143" s="32">
        <f t="shared" si="59"/>
        <v>20</v>
      </c>
      <c r="BL143" s="362">
        <f t="shared" si="60"/>
        <v>110</v>
      </c>
      <c r="BM143" s="366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</row>
    <row r="144" spans="1:87" ht="12.75" customHeight="1">
      <c r="A144" s="318" t="s">
        <v>411</v>
      </c>
      <c r="B144" s="311" t="s">
        <v>412</v>
      </c>
      <c r="C144" s="78" t="s">
        <v>413</v>
      </c>
      <c r="D144" s="78" t="s">
        <v>80</v>
      </c>
      <c r="E144" s="463" t="s">
        <v>491</v>
      </c>
      <c r="F144" s="583" t="s">
        <v>70</v>
      </c>
      <c r="G144" s="208" t="s">
        <v>70</v>
      </c>
      <c r="H144" s="209" t="s">
        <v>146</v>
      </c>
      <c r="I144" s="190" t="s">
        <v>97</v>
      </c>
      <c r="J144" s="224">
        <v>40</v>
      </c>
      <c r="K144" s="216">
        <v>26</v>
      </c>
      <c r="L144" s="216">
        <v>12</v>
      </c>
      <c r="M144" s="216">
        <v>2</v>
      </c>
      <c r="N144" s="172">
        <f t="shared" si="62"/>
        <v>26</v>
      </c>
      <c r="O144" s="331"/>
      <c r="P144" s="331">
        <v>14</v>
      </c>
      <c r="Q144" s="331">
        <v>12</v>
      </c>
      <c r="R144" s="331"/>
      <c r="S144" s="331"/>
      <c r="T144" s="331"/>
      <c r="U144" s="172">
        <f t="shared" si="63"/>
        <v>12</v>
      </c>
      <c r="V144" s="331"/>
      <c r="W144" s="331">
        <v>8</v>
      </c>
      <c r="X144" s="331"/>
      <c r="Y144" s="331">
        <v>4</v>
      </c>
      <c r="Z144" s="331"/>
      <c r="AA144" s="331"/>
      <c r="AB144" s="172">
        <f t="shared" si="61"/>
        <v>2</v>
      </c>
      <c r="AC144" s="26"/>
      <c r="AD144" s="26">
        <v>2</v>
      </c>
      <c r="AE144" s="26"/>
      <c r="AF144" s="26"/>
      <c r="AG144" s="26"/>
      <c r="AH144" s="26"/>
      <c r="AI144" s="345">
        <f>(L144+M144)/J144</f>
        <v>0.35</v>
      </c>
      <c r="AJ144" s="346">
        <f>AB144/J144</f>
        <v>0.05</v>
      </c>
      <c r="AK144" s="88" t="s">
        <v>73</v>
      </c>
      <c r="AL144" s="243" t="s">
        <v>114</v>
      </c>
      <c r="AM144" s="243" t="s">
        <v>125</v>
      </c>
      <c r="AN144" s="243" t="s">
        <v>71</v>
      </c>
      <c r="AO144" s="243" t="s">
        <v>115</v>
      </c>
      <c r="AP144" s="248">
        <v>0.5</v>
      </c>
      <c r="AQ144" s="249">
        <v>2.4</v>
      </c>
      <c r="AR144" s="258">
        <v>0.38600000000000001</v>
      </c>
      <c r="AS144" s="244"/>
      <c r="AT144" s="244"/>
      <c r="AU144" s="244"/>
      <c r="AV144" s="246"/>
      <c r="AW144" s="127">
        <f t="shared" si="64"/>
        <v>3.286</v>
      </c>
      <c r="AX144" s="289"/>
      <c r="AY144" s="289"/>
      <c r="AZ144" s="292"/>
      <c r="BA144" s="38">
        <f t="shared" si="56"/>
        <v>3.286</v>
      </c>
      <c r="BB144" s="129">
        <f t="shared" ref="BB144:BB147" si="66">BA144/J144</f>
        <v>8.2150000000000001E-2</v>
      </c>
      <c r="BC144" s="54">
        <v>30</v>
      </c>
      <c r="BD144" s="54">
        <v>30</v>
      </c>
      <c r="BE144" s="54">
        <v>10</v>
      </c>
      <c r="BF144" s="61">
        <v>70</v>
      </c>
      <c r="BG144" s="96">
        <v>0</v>
      </c>
      <c r="BH144" s="61">
        <v>0</v>
      </c>
      <c r="BI144" s="31">
        <f t="shared" si="58"/>
        <v>60</v>
      </c>
      <c r="BJ144" s="31">
        <f t="shared" si="57"/>
        <v>80</v>
      </c>
      <c r="BK144" s="32">
        <f t="shared" si="59"/>
        <v>0</v>
      </c>
      <c r="BL144" s="362">
        <f t="shared" si="60"/>
        <v>140</v>
      </c>
      <c r="BM144" s="366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</row>
    <row r="145" spans="1:87" ht="12.75" customHeight="1">
      <c r="A145" s="320" t="s">
        <v>414</v>
      </c>
      <c r="B145" s="632" t="s">
        <v>415</v>
      </c>
      <c r="C145" s="23" t="s">
        <v>416</v>
      </c>
      <c r="D145" s="405" t="s">
        <v>108</v>
      </c>
      <c r="E145" s="370" t="s">
        <v>491</v>
      </c>
      <c r="F145" s="586" t="s">
        <v>119</v>
      </c>
      <c r="G145" s="579" t="s">
        <v>81</v>
      </c>
      <c r="H145" s="201" t="s">
        <v>71</v>
      </c>
      <c r="I145" s="196" t="s">
        <v>104</v>
      </c>
      <c r="J145" s="224">
        <v>30</v>
      </c>
      <c r="K145" s="216">
        <v>20</v>
      </c>
      <c r="L145" s="216">
        <v>9</v>
      </c>
      <c r="M145" s="216">
        <v>1</v>
      </c>
      <c r="N145" s="172">
        <f t="shared" si="62"/>
        <v>20</v>
      </c>
      <c r="O145" s="331">
        <v>0</v>
      </c>
      <c r="P145" s="331">
        <v>9</v>
      </c>
      <c r="Q145" s="331">
        <v>8</v>
      </c>
      <c r="R145" s="331">
        <v>3</v>
      </c>
      <c r="S145" s="331">
        <v>0</v>
      </c>
      <c r="T145" s="331">
        <v>0</v>
      </c>
      <c r="U145" s="172">
        <f t="shared" si="63"/>
        <v>9</v>
      </c>
      <c r="V145" s="331">
        <v>0</v>
      </c>
      <c r="W145" s="331">
        <v>5</v>
      </c>
      <c r="X145" s="331">
        <v>0</v>
      </c>
      <c r="Y145" s="331">
        <v>4</v>
      </c>
      <c r="Z145" s="331">
        <v>0</v>
      </c>
      <c r="AA145" s="331">
        <v>0</v>
      </c>
      <c r="AB145" s="172">
        <f t="shared" si="61"/>
        <v>1</v>
      </c>
      <c r="AC145" s="26">
        <v>0</v>
      </c>
      <c r="AD145" s="26">
        <v>0</v>
      </c>
      <c r="AE145" s="26">
        <v>1</v>
      </c>
      <c r="AF145" s="26">
        <v>0</v>
      </c>
      <c r="AG145" s="26">
        <v>0</v>
      </c>
      <c r="AH145" s="26">
        <v>0</v>
      </c>
      <c r="AI145" s="346">
        <f>(L145+M145)/J145</f>
        <v>0.33333333333333331</v>
      </c>
      <c r="AJ145" s="346">
        <f>AB145/J145</f>
        <v>3.3333333333333333E-2</v>
      </c>
      <c r="AK145" s="89" t="s">
        <v>83</v>
      </c>
      <c r="AL145" s="173" t="s">
        <v>71</v>
      </c>
      <c r="AM145" s="196" t="s">
        <v>104</v>
      </c>
      <c r="AN145" s="243" t="s">
        <v>75</v>
      </c>
      <c r="AO145" s="196" t="s">
        <v>88</v>
      </c>
      <c r="AP145" s="248"/>
      <c r="AQ145" s="248"/>
      <c r="AR145" s="249">
        <v>1</v>
      </c>
      <c r="AS145" s="249">
        <v>0.56699999999999995</v>
      </c>
      <c r="AT145" s="248"/>
      <c r="AU145" s="248"/>
      <c r="AV145" s="248"/>
      <c r="AW145" s="127">
        <f t="shared" si="64"/>
        <v>1.5669999999999999</v>
      </c>
      <c r="AX145" s="286"/>
      <c r="AY145" s="286">
        <v>0.20300000000000001</v>
      </c>
      <c r="AZ145" s="291"/>
      <c r="BA145" s="38">
        <f t="shared" si="56"/>
        <v>1.77</v>
      </c>
      <c r="BB145" s="129">
        <f t="shared" si="66"/>
        <v>5.9000000000000004E-2</v>
      </c>
      <c r="BC145" s="39">
        <v>30</v>
      </c>
      <c r="BD145" s="54">
        <v>50</v>
      </c>
      <c r="BE145" s="54">
        <v>50</v>
      </c>
      <c r="BF145" s="61">
        <v>30</v>
      </c>
      <c r="BG145" s="61">
        <v>0</v>
      </c>
      <c r="BH145" s="61">
        <v>0</v>
      </c>
      <c r="BI145" s="31">
        <f t="shared" si="58"/>
        <v>80</v>
      </c>
      <c r="BJ145" s="31">
        <f t="shared" si="57"/>
        <v>80</v>
      </c>
      <c r="BK145" s="32">
        <f t="shared" si="59"/>
        <v>0</v>
      </c>
      <c r="BL145" s="362">
        <f t="shared" si="60"/>
        <v>160</v>
      </c>
      <c r="BM145" s="376"/>
      <c r="BN145" s="1"/>
      <c r="BO145" s="80"/>
      <c r="BP145" s="9"/>
      <c r="BQ145" s="9"/>
      <c r="BR145" s="9"/>
      <c r="BS145" s="9"/>
      <c r="BT145" s="9"/>
      <c r="BU145" s="9"/>
      <c r="BV145" s="9"/>
      <c r="BW145" s="9"/>
      <c r="BX145" s="9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</row>
    <row r="146" spans="1:87" ht="12.75" customHeight="1">
      <c r="A146" s="600" t="s">
        <v>417</v>
      </c>
      <c r="B146" s="614" t="s">
        <v>418</v>
      </c>
      <c r="C146" s="78" t="s">
        <v>419</v>
      </c>
      <c r="D146" s="83" t="s">
        <v>95</v>
      </c>
      <c r="E146" s="449" t="s">
        <v>490</v>
      </c>
      <c r="F146" s="587" t="s">
        <v>81</v>
      </c>
      <c r="G146" s="578" t="s">
        <v>81</v>
      </c>
      <c r="H146" s="211" t="s">
        <v>109</v>
      </c>
      <c r="I146" s="188" t="s">
        <v>85</v>
      </c>
      <c r="J146" s="227">
        <v>19</v>
      </c>
      <c r="K146" s="216">
        <v>13</v>
      </c>
      <c r="L146" s="216">
        <v>5</v>
      </c>
      <c r="M146" s="226">
        <v>1</v>
      </c>
      <c r="N146" s="172">
        <f t="shared" si="62"/>
        <v>13</v>
      </c>
      <c r="O146" s="290">
        <v>0</v>
      </c>
      <c r="P146" s="290">
        <v>6</v>
      </c>
      <c r="Q146" s="290">
        <v>6</v>
      </c>
      <c r="R146" s="290">
        <v>1</v>
      </c>
      <c r="S146" s="290">
        <v>0</v>
      </c>
      <c r="T146" s="290">
        <v>0</v>
      </c>
      <c r="U146" s="172">
        <f t="shared" si="63"/>
        <v>5</v>
      </c>
      <c r="V146" s="290">
        <v>0</v>
      </c>
      <c r="W146" s="290">
        <v>4</v>
      </c>
      <c r="X146" s="290">
        <v>0</v>
      </c>
      <c r="Y146" s="290">
        <v>0</v>
      </c>
      <c r="Z146" s="290">
        <v>1</v>
      </c>
      <c r="AA146" s="290">
        <v>0</v>
      </c>
      <c r="AB146" s="172">
        <f t="shared" si="61"/>
        <v>1</v>
      </c>
      <c r="AC146" s="69">
        <v>0</v>
      </c>
      <c r="AD146" s="69">
        <v>1</v>
      </c>
      <c r="AE146" s="69">
        <v>0</v>
      </c>
      <c r="AF146" s="69">
        <v>0</v>
      </c>
      <c r="AG146" s="69">
        <v>0</v>
      </c>
      <c r="AH146" s="69">
        <v>0</v>
      </c>
      <c r="AI146" s="346">
        <f>(U146+AB146)/J146</f>
        <v>0.31578947368421051</v>
      </c>
      <c r="AJ146" s="346">
        <f>AB146/J146</f>
        <v>5.2631578947368418E-2</v>
      </c>
      <c r="AK146" s="88" t="s">
        <v>73</v>
      </c>
      <c r="AL146" s="243" t="s">
        <v>109</v>
      </c>
      <c r="AM146" s="243" t="s">
        <v>85</v>
      </c>
      <c r="AN146" s="243" t="s">
        <v>71</v>
      </c>
      <c r="AO146" s="243" t="s">
        <v>96</v>
      </c>
      <c r="AP146" s="248">
        <v>0.32</v>
      </c>
      <c r="AQ146" s="248">
        <v>0.80100000000000005</v>
      </c>
      <c r="AR146" s="248"/>
      <c r="AS146" s="248"/>
      <c r="AT146" s="248"/>
      <c r="AU146" s="248"/>
      <c r="AV146" s="248"/>
      <c r="AW146" s="127">
        <f t="shared" si="64"/>
        <v>1.121</v>
      </c>
      <c r="AX146" s="286"/>
      <c r="AY146" s="286"/>
      <c r="AZ146" s="291"/>
      <c r="BA146" s="38">
        <f t="shared" si="56"/>
        <v>1.121</v>
      </c>
      <c r="BB146" s="129">
        <f t="shared" si="66"/>
        <v>5.8999999999999997E-2</v>
      </c>
      <c r="BC146" s="61">
        <v>20</v>
      </c>
      <c r="BD146" s="54">
        <v>15</v>
      </c>
      <c r="BE146" s="54">
        <v>50</v>
      </c>
      <c r="BF146" s="61">
        <v>30</v>
      </c>
      <c r="BG146" s="96">
        <v>0</v>
      </c>
      <c r="BH146" s="61">
        <v>0</v>
      </c>
      <c r="BI146" s="31">
        <f t="shared" si="58"/>
        <v>35</v>
      </c>
      <c r="BJ146" s="31">
        <f t="shared" si="57"/>
        <v>80</v>
      </c>
      <c r="BK146" s="32">
        <f t="shared" si="59"/>
        <v>0</v>
      </c>
      <c r="BL146" s="362">
        <f t="shared" si="60"/>
        <v>115</v>
      </c>
      <c r="BM146" s="369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</row>
    <row r="147" spans="1:87" ht="12.75" customHeight="1">
      <c r="A147" s="324" t="s">
        <v>513</v>
      </c>
      <c r="B147" s="614" t="s">
        <v>420</v>
      </c>
      <c r="C147" s="78" t="s">
        <v>419</v>
      </c>
      <c r="D147" s="83" t="s">
        <v>95</v>
      </c>
      <c r="E147" s="449" t="s">
        <v>490</v>
      </c>
      <c r="F147" s="587" t="s">
        <v>81</v>
      </c>
      <c r="G147" s="578" t="s">
        <v>81</v>
      </c>
      <c r="H147" s="211" t="s">
        <v>75</v>
      </c>
      <c r="I147" s="188" t="s">
        <v>85</v>
      </c>
      <c r="J147" s="214">
        <v>21</v>
      </c>
      <c r="K147" s="216">
        <v>15</v>
      </c>
      <c r="L147" s="216">
        <v>5</v>
      </c>
      <c r="M147" s="226">
        <v>1</v>
      </c>
      <c r="N147" s="172">
        <f t="shared" si="62"/>
        <v>15</v>
      </c>
      <c r="O147" s="290">
        <v>0</v>
      </c>
      <c r="P147" s="290">
        <v>7</v>
      </c>
      <c r="Q147" s="290">
        <v>7</v>
      </c>
      <c r="R147" s="290">
        <v>1</v>
      </c>
      <c r="S147" s="290">
        <v>0</v>
      </c>
      <c r="T147" s="290">
        <v>0</v>
      </c>
      <c r="U147" s="172">
        <f t="shared" si="63"/>
        <v>5</v>
      </c>
      <c r="V147" s="290">
        <v>0</v>
      </c>
      <c r="W147" s="290">
        <v>5</v>
      </c>
      <c r="X147" s="290">
        <v>0</v>
      </c>
      <c r="Y147" s="290">
        <v>0</v>
      </c>
      <c r="Z147" s="290">
        <v>0</v>
      </c>
      <c r="AA147" s="290">
        <v>0</v>
      </c>
      <c r="AB147" s="172">
        <f t="shared" si="61"/>
        <v>1</v>
      </c>
      <c r="AC147" s="69">
        <v>0</v>
      </c>
      <c r="AD147" s="69">
        <v>1</v>
      </c>
      <c r="AE147" s="69">
        <v>0</v>
      </c>
      <c r="AF147" s="69">
        <v>0</v>
      </c>
      <c r="AG147" s="69">
        <v>0</v>
      </c>
      <c r="AH147" s="69">
        <v>0</v>
      </c>
      <c r="AI147" s="346">
        <f>(U147+AB147)/J147</f>
        <v>0.2857142857142857</v>
      </c>
      <c r="AJ147" s="346">
        <f>AB147/J147</f>
        <v>4.7619047619047616E-2</v>
      </c>
      <c r="AK147" s="88" t="s">
        <v>73</v>
      </c>
      <c r="AL147" s="262" t="s">
        <v>71</v>
      </c>
      <c r="AM147" s="262" t="s">
        <v>72</v>
      </c>
      <c r="AN147" s="262" t="s">
        <v>75</v>
      </c>
      <c r="AO147" s="262" t="s">
        <v>85</v>
      </c>
      <c r="AP147" s="248"/>
      <c r="AQ147" s="248"/>
      <c r="AR147" s="249">
        <v>0.8</v>
      </c>
      <c r="AS147" s="249">
        <v>0.439</v>
      </c>
      <c r="AT147" s="248"/>
      <c r="AU147" s="248"/>
      <c r="AV147" s="248"/>
      <c r="AW147" s="127">
        <f t="shared" si="64"/>
        <v>1.2390000000000001</v>
      </c>
      <c r="AX147" s="286"/>
      <c r="AY147" s="286"/>
      <c r="AZ147" s="291"/>
      <c r="BA147" s="38">
        <f t="shared" si="56"/>
        <v>1.2390000000000001</v>
      </c>
      <c r="BB147" s="129">
        <f t="shared" si="66"/>
        <v>5.9000000000000004E-2</v>
      </c>
      <c r="BC147" s="61">
        <v>20</v>
      </c>
      <c r="BD147" s="54">
        <v>15</v>
      </c>
      <c r="BE147" s="54">
        <v>0</v>
      </c>
      <c r="BF147" s="61">
        <v>30</v>
      </c>
      <c r="BG147" s="96">
        <v>0</v>
      </c>
      <c r="BH147" s="61">
        <v>0</v>
      </c>
      <c r="BI147" s="31">
        <f t="shared" si="58"/>
        <v>35</v>
      </c>
      <c r="BJ147" s="31">
        <f t="shared" si="57"/>
        <v>30</v>
      </c>
      <c r="BK147" s="32">
        <f t="shared" si="59"/>
        <v>0</v>
      </c>
      <c r="BL147" s="362">
        <f t="shared" si="60"/>
        <v>65</v>
      </c>
      <c r="BM147" s="369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</row>
    <row r="148" spans="1:87" ht="12.75" customHeight="1">
      <c r="A148" s="323" t="s">
        <v>117</v>
      </c>
      <c r="B148" s="401" t="s">
        <v>426</v>
      </c>
      <c r="C148" s="78" t="s">
        <v>423</v>
      </c>
      <c r="D148" s="78" t="s">
        <v>251</v>
      </c>
      <c r="E148" s="83" t="s">
        <v>491</v>
      </c>
      <c r="F148" s="430" t="s">
        <v>70</v>
      </c>
      <c r="G148" s="208" t="s">
        <v>70</v>
      </c>
      <c r="H148" s="209" t="s">
        <v>89</v>
      </c>
      <c r="I148" s="208" t="s">
        <v>104</v>
      </c>
      <c r="J148" s="229">
        <v>0</v>
      </c>
      <c r="K148" s="216">
        <v>29</v>
      </c>
      <c r="L148" s="216">
        <v>18</v>
      </c>
      <c r="M148" s="216">
        <v>2</v>
      </c>
      <c r="N148" s="172">
        <f t="shared" si="62"/>
        <v>0</v>
      </c>
      <c r="O148" s="331"/>
      <c r="P148" s="331"/>
      <c r="Q148" s="331"/>
      <c r="R148" s="331"/>
      <c r="S148" s="331"/>
      <c r="T148" s="331"/>
      <c r="U148" s="172">
        <f t="shared" si="63"/>
        <v>0</v>
      </c>
      <c r="V148" s="331"/>
      <c r="W148" s="331"/>
      <c r="X148" s="331"/>
      <c r="Y148" s="331"/>
      <c r="Z148" s="331"/>
      <c r="AA148" s="331"/>
      <c r="AB148" s="172">
        <f t="shared" si="61"/>
        <v>0</v>
      </c>
      <c r="AC148" s="26"/>
      <c r="AD148" s="26"/>
      <c r="AE148" s="26"/>
      <c r="AF148" s="26"/>
      <c r="AG148" s="26"/>
      <c r="AH148" s="26"/>
      <c r="AI148" s="346">
        <v>0</v>
      </c>
      <c r="AJ148" s="346">
        <v>0</v>
      </c>
      <c r="AK148" s="88" t="s">
        <v>73</v>
      </c>
      <c r="AL148" s="208" t="s">
        <v>89</v>
      </c>
      <c r="AM148" s="208" t="s">
        <v>104</v>
      </c>
      <c r="AN148" s="208" t="s">
        <v>133</v>
      </c>
      <c r="AO148" s="208" t="s">
        <v>97</v>
      </c>
      <c r="AP148" s="244"/>
      <c r="AQ148" s="244"/>
      <c r="AR148" s="244"/>
      <c r="AS148" s="244"/>
      <c r="AT148" s="244"/>
      <c r="AU148" s="244">
        <v>2</v>
      </c>
      <c r="AV148" s="259">
        <v>1.8819999999999999</v>
      </c>
      <c r="AW148" s="127">
        <f t="shared" si="64"/>
        <v>3.8819999999999997</v>
      </c>
      <c r="AX148" s="289"/>
      <c r="AY148" s="289"/>
      <c r="AZ148" s="292"/>
      <c r="BA148" s="129">
        <f t="shared" si="56"/>
        <v>3.8819999999999997</v>
      </c>
      <c r="BB148" s="129">
        <f>BA148/49</f>
        <v>7.9224489795918354E-2</v>
      </c>
      <c r="BC148" s="61">
        <v>10</v>
      </c>
      <c r="BD148" s="54">
        <v>10</v>
      </c>
      <c r="BE148" s="54">
        <v>0</v>
      </c>
      <c r="BF148" s="61">
        <v>30</v>
      </c>
      <c r="BG148" s="61">
        <v>0</v>
      </c>
      <c r="BH148" s="61">
        <v>0</v>
      </c>
      <c r="BI148" s="31">
        <f t="shared" si="58"/>
        <v>20</v>
      </c>
      <c r="BJ148" s="31">
        <f t="shared" si="57"/>
        <v>30</v>
      </c>
      <c r="BK148" s="32">
        <f t="shared" si="59"/>
        <v>0</v>
      </c>
      <c r="BL148" s="362">
        <f t="shared" si="60"/>
        <v>50</v>
      </c>
      <c r="BM148" s="465" t="s">
        <v>499</v>
      </c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</row>
    <row r="149" spans="1:87" ht="12.75" customHeight="1">
      <c r="A149" s="318" t="s">
        <v>421</v>
      </c>
      <c r="B149" s="606" t="s">
        <v>422</v>
      </c>
      <c r="C149" s="66" t="s">
        <v>423</v>
      </c>
      <c r="D149" s="66" t="s">
        <v>251</v>
      </c>
      <c r="E149" s="328" t="s">
        <v>491</v>
      </c>
      <c r="F149" s="199" t="s">
        <v>81</v>
      </c>
      <c r="G149" s="199" t="s">
        <v>81</v>
      </c>
      <c r="H149" s="201" t="s">
        <v>71</v>
      </c>
      <c r="I149" s="188" t="s">
        <v>110</v>
      </c>
      <c r="J149" s="224">
        <v>2</v>
      </c>
      <c r="K149" s="216">
        <v>0</v>
      </c>
      <c r="L149" s="216">
        <v>0</v>
      </c>
      <c r="M149" s="216">
        <v>2</v>
      </c>
      <c r="N149" s="172">
        <f t="shared" si="62"/>
        <v>0</v>
      </c>
      <c r="O149" s="331">
        <v>0</v>
      </c>
      <c r="P149" s="331">
        <v>0</v>
      </c>
      <c r="Q149" s="331">
        <v>0</v>
      </c>
      <c r="R149" s="331">
        <v>0</v>
      </c>
      <c r="S149" s="331">
        <v>0</v>
      </c>
      <c r="T149" s="331">
        <v>0</v>
      </c>
      <c r="U149" s="172">
        <f t="shared" si="63"/>
        <v>0</v>
      </c>
      <c r="V149" s="331">
        <v>0</v>
      </c>
      <c r="W149" s="331">
        <v>0</v>
      </c>
      <c r="X149" s="331">
        <v>0</v>
      </c>
      <c r="Y149" s="331">
        <v>0</v>
      </c>
      <c r="Z149" s="331">
        <v>0</v>
      </c>
      <c r="AA149" s="331">
        <v>0</v>
      </c>
      <c r="AB149" s="172">
        <f t="shared" si="61"/>
        <v>2</v>
      </c>
      <c r="AC149" s="26">
        <v>0</v>
      </c>
      <c r="AD149" s="26">
        <v>2</v>
      </c>
      <c r="AE149" s="26">
        <v>0</v>
      </c>
      <c r="AF149" s="26">
        <v>0</v>
      </c>
      <c r="AG149" s="26">
        <v>0</v>
      </c>
      <c r="AH149" s="26">
        <v>0</v>
      </c>
      <c r="AI149" s="346">
        <f>(U149+AB149)/J149</f>
        <v>1</v>
      </c>
      <c r="AJ149" s="346">
        <f>AB149/J149</f>
        <v>1</v>
      </c>
      <c r="AK149" s="88" t="s">
        <v>73</v>
      </c>
      <c r="AL149" s="426" t="s">
        <v>71</v>
      </c>
      <c r="AM149" s="261" t="s">
        <v>85</v>
      </c>
      <c r="AN149" s="426" t="s">
        <v>71</v>
      </c>
      <c r="AO149" s="262" t="s">
        <v>96</v>
      </c>
      <c r="AP149" s="248"/>
      <c r="AQ149" s="248"/>
      <c r="AR149" s="248">
        <v>0.11799999999999999</v>
      </c>
      <c r="AS149" s="248"/>
      <c r="AT149" s="248"/>
      <c r="AU149" s="248"/>
      <c r="AV149" s="248"/>
      <c r="AW149" s="127">
        <f t="shared" si="64"/>
        <v>0.11799999999999999</v>
      </c>
      <c r="AX149" s="286"/>
      <c r="AY149" s="286"/>
      <c r="AZ149" s="292"/>
      <c r="BA149" s="38">
        <f t="shared" si="56"/>
        <v>0.11799999999999999</v>
      </c>
      <c r="BB149" s="129">
        <f t="shared" ref="BB149:BB154" si="67">BA149/J149</f>
        <v>5.8999999999999997E-2</v>
      </c>
      <c r="BC149" s="61">
        <v>10</v>
      </c>
      <c r="BD149" s="54">
        <v>10</v>
      </c>
      <c r="BE149" s="54">
        <v>50</v>
      </c>
      <c r="BF149" s="61">
        <v>70</v>
      </c>
      <c r="BG149" s="61">
        <v>0</v>
      </c>
      <c r="BH149" s="61">
        <v>0</v>
      </c>
      <c r="BI149" s="31">
        <f t="shared" si="58"/>
        <v>20</v>
      </c>
      <c r="BJ149" s="31">
        <f t="shared" si="57"/>
        <v>120</v>
      </c>
      <c r="BK149" s="32">
        <f t="shared" si="59"/>
        <v>0</v>
      </c>
      <c r="BL149" s="362">
        <f t="shared" si="60"/>
        <v>140</v>
      </c>
      <c r="BM149" s="366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</row>
    <row r="150" spans="1:87" ht="12.75" customHeight="1">
      <c r="A150" s="318" t="s">
        <v>424</v>
      </c>
      <c r="B150" s="629" t="s">
        <v>425</v>
      </c>
      <c r="C150" s="66" t="s">
        <v>423</v>
      </c>
      <c r="D150" s="66" t="s">
        <v>251</v>
      </c>
      <c r="E150" s="328" t="s">
        <v>491</v>
      </c>
      <c r="F150" s="199" t="s">
        <v>81</v>
      </c>
      <c r="G150" s="199" t="s">
        <v>81</v>
      </c>
      <c r="H150" s="201" t="s">
        <v>71</v>
      </c>
      <c r="I150" s="188" t="s">
        <v>104</v>
      </c>
      <c r="J150" s="224">
        <v>24</v>
      </c>
      <c r="K150" s="216">
        <v>0</v>
      </c>
      <c r="L150" s="216">
        <v>20</v>
      </c>
      <c r="M150" s="216">
        <v>4</v>
      </c>
      <c r="N150" s="172">
        <f t="shared" si="62"/>
        <v>0</v>
      </c>
      <c r="O150" s="331">
        <v>0</v>
      </c>
      <c r="P150" s="331">
        <v>0</v>
      </c>
      <c r="Q150" s="331">
        <v>0</v>
      </c>
      <c r="R150" s="331">
        <v>0</v>
      </c>
      <c r="S150" s="331">
        <v>0</v>
      </c>
      <c r="T150" s="331">
        <v>0</v>
      </c>
      <c r="U150" s="172">
        <f t="shared" si="63"/>
        <v>20</v>
      </c>
      <c r="V150" s="331">
        <v>0</v>
      </c>
      <c r="W150" s="331">
        <v>20</v>
      </c>
      <c r="X150" s="331">
        <v>0</v>
      </c>
      <c r="Y150" s="331">
        <v>0</v>
      </c>
      <c r="Z150" s="331">
        <v>0</v>
      </c>
      <c r="AA150" s="331">
        <v>0</v>
      </c>
      <c r="AB150" s="172">
        <f t="shared" si="61"/>
        <v>4</v>
      </c>
      <c r="AC150" s="26">
        <v>0</v>
      </c>
      <c r="AD150" s="26">
        <v>2</v>
      </c>
      <c r="AE150" s="26">
        <v>2</v>
      </c>
      <c r="AF150" s="26">
        <v>0</v>
      </c>
      <c r="AG150" s="26">
        <v>0</v>
      </c>
      <c r="AH150" s="26">
        <v>0</v>
      </c>
      <c r="AI150" s="345">
        <f>(U150+AB150)/J150</f>
        <v>1</v>
      </c>
      <c r="AJ150" s="346">
        <f>AB150/J150</f>
        <v>0.16666666666666666</v>
      </c>
      <c r="AK150" s="88" t="s">
        <v>73</v>
      </c>
      <c r="AL150" s="201" t="s">
        <v>71</v>
      </c>
      <c r="AM150" s="201" t="s">
        <v>104</v>
      </c>
      <c r="AN150" s="201" t="s">
        <v>75</v>
      </c>
      <c r="AO150" s="243" t="s">
        <v>110</v>
      </c>
      <c r="AP150" s="248"/>
      <c r="AQ150" s="248"/>
      <c r="AR150" s="249">
        <v>1.5</v>
      </c>
      <c r="AS150" s="249">
        <v>0.39600000000000002</v>
      </c>
      <c r="AT150" s="248"/>
      <c r="AU150" s="248"/>
      <c r="AV150" s="248"/>
      <c r="AW150" s="127">
        <f t="shared" si="64"/>
        <v>1.8959999999999999</v>
      </c>
      <c r="AX150" s="286"/>
      <c r="AY150" s="286"/>
      <c r="AZ150" s="292"/>
      <c r="BA150" s="38">
        <f t="shared" si="56"/>
        <v>1.8959999999999999</v>
      </c>
      <c r="BB150" s="129">
        <f t="shared" si="67"/>
        <v>7.9000000000000001E-2</v>
      </c>
      <c r="BC150" s="54">
        <v>10</v>
      </c>
      <c r="BD150" s="54">
        <v>10</v>
      </c>
      <c r="BE150" s="54">
        <v>0</v>
      </c>
      <c r="BF150" s="61">
        <v>30</v>
      </c>
      <c r="BG150" s="61">
        <v>0</v>
      </c>
      <c r="BH150" s="61">
        <v>0</v>
      </c>
      <c r="BI150" s="31">
        <f t="shared" si="58"/>
        <v>20</v>
      </c>
      <c r="BJ150" s="31">
        <f t="shared" si="57"/>
        <v>30</v>
      </c>
      <c r="BK150" s="32">
        <f t="shared" si="59"/>
        <v>0</v>
      </c>
      <c r="BL150" s="361">
        <f t="shared" si="60"/>
        <v>50</v>
      </c>
      <c r="BM150" s="365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</row>
    <row r="151" spans="1:87" ht="12.75" customHeight="1">
      <c r="A151" s="320" t="s">
        <v>427</v>
      </c>
      <c r="B151" s="304" t="s">
        <v>428</v>
      </c>
      <c r="C151" s="97" t="s">
        <v>429</v>
      </c>
      <c r="D151" s="98" t="s">
        <v>157</v>
      </c>
      <c r="E151" s="95" t="s">
        <v>489</v>
      </c>
      <c r="F151" s="207" t="s">
        <v>135</v>
      </c>
      <c r="G151" s="207" t="s">
        <v>135</v>
      </c>
      <c r="H151" s="407" t="s">
        <v>75</v>
      </c>
      <c r="I151" s="453" t="s">
        <v>85</v>
      </c>
      <c r="J151" s="229">
        <v>25</v>
      </c>
      <c r="K151" s="241">
        <v>18</v>
      </c>
      <c r="L151" s="241">
        <v>7</v>
      </c>
      <c r="M151" s="241">
        <v>0</v>
      </c>
      <c r="N151" s="172">
        <f t="shared" si="62"/>
        <v>18</v>
      </c>
      <c r="O151" s="331"/>
      <c r="P151" s="331">
        <v>14</v>
      </c>
      <c r="Q151" s="331">
        <v>4</v>
      </c>
      <c r="R151" s="331"/>
      <c r="S151" s="331"/>
      <c r="T151" s="331"/>
      <c r="U151" s="172">
        <f t="shared" si="63"/>
        <v>7</v>
      </c>
      <c r="V151" s="331"/>
      <c r="W151" s="331">
        <v>6</v>
      </c>
      <c r="X151" s="331"/>
      <c r="Y151" s="331">
        <v>1</v>
      </c>
      <c r="Z151" s="331"/>
      <c r="AA151" s="331"/>
      <c r="AB151" s="172">
        <f t="shared" si="61"/>
        <v>0</v>
      </c>
      <c r="AC151" s="94"/>
      <c r="AD151" s="94"/>
      <c r="AE151" s="94"/>
      <c r="AF151" s="94"/>
      <c r="AG151" s="94"/>
      <c r="AH151" s="94"/>
      <c r="AI151" s="345">
        <f>(L151+M151)/J151</f>
        <v>0.28000000000000003</v>
      </c>
      <c r="AJ151" s="346">
        <f>AB151/J151</f>
        <v>0</v>
      </c>
      <c r="AK151" s="99" t="s">
        <v>136</v>
      </c>
      <c r="AL151" s="207" t="s">
        <v>75</v>
      </c>
      <c r="AM151" s="453" t="s">
        <v>85</v>
      </c>
      <c r="AN151" s="207" t="s">
        <v>84</v>
      </c>
      <c r="AO151" s="453" t="s">
        <v>85</v>
      </c>
      <c r="AP151" s="244"/>
      <c r="AQ151" s="244"/>
      <c r="AR151" s="244"/>
      <c r="AS151" s="244">
        <v>1.1499999999999999</v>
      </c>
      <c r="AT151" s="244"/>
      <c r="AU151" s="244"/>
      <c r="AV151" s="246"/>
      <c r="AW151" s="127">
        <f t="shared" si="64"/>
        <v>1.1499999999999999</v>
      </c>
      <c r="AX151" s="301"/>
      <c r="AY151" s="301"/>
      <c r="AZ151" s="300"/>
      <c r="BA151" s="38">
        <f t="shared" si="56"/>
        <v>1.1499999999999999</v>
      </c>
      <c r="BB151" s="129">
        <f t="shared" si="67"/>
        <v>4.5999999999999999E-2</v>
      </c>
      <c r="BC151" s="30">
        <v>50</v>
      </c>
      <c r="BD151" s="30">
        <v>45</v>
      </c>
      <c r="BE151" s="30">
        <v>0</v>
      </c>
      <c r="BF151" s="30">
        <v>30</v>
      </c>
      <c r="BG151" s="30">
        <v>0</v>
      </c>
      <c r="BH151" s="30">
        <v>0</v>
      </c>
      <c r="BI151" s="31">
        <f t="shared" si="58"/>
        <v>95</v>
      </c>
      <c r="BJ151" s="31">
        <f t="shared" si="57"/>
        <v>30</v>
      </c>
      <c r="BK151" s="32">
        <f t="shared" si="59"/>
        <v>0</v>
      </c>
      <c r="BL151" s="362">
        <f t="shared" si="60"/>
        <v>125</v>
      </c>
      <c r="BM151" s="367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</row>
    <row r="152" spans="1:87" ht="12.75" customHeight="1">
      <c r="A152" s="318" t="s">
        <v>512</v>
      </c>
      <c r="B152" s="608" t="s">
        <v>430</v>
      </c>
      <c r="C152" s="41" t="s">
        <v>429</v>
      </c>
      <c r="D152" s="98" t="s">
        <v>157</v>
      </c>
      <c r="E152" s="95" t="s">
        <v>489</v>
      </c>
      <c r="F152" s="207" t="s">
        <v>119</v>
      </c>
      <c r="G152" s="207" t="s">
        <v>81</v>
      </c>
      <c r="H152" s="170" t="s">
        <v>84</v>
      </c>
      <c r="I152" s="186" t="s">
        <v>169</v>
      </c>
      <c r="J152" s="221">
        <v>0</v>
      </c>
      <c r="K152" s="241">
        <v>35</v>
      </c>
      <c r="L152" s="240">
        <v>12</v>
      </c>
      <c r="M152" s="241">
        <v>2</v>
      </c>
      <c r="N152" s="172">
        <f t="shared" si="62"/>
        <v>0</v>
      </c>
      <c r="O152" s="331"/>
      <c r="P152" s="331"/>
      <c r="Q152" s="331"/>
      <c r="R152" s="331"/>
      <c r="S152" s="331"/>
      <c r="T152" s="331"/>
      <c r="U152" s="172">
        <f t="shared" si="63"/>
        <v>0</v>
      </c>
      <c r="V152" s="331"/>
      <c r="W152" s="331"/>
      <c r="X152" s="331"/>
      <c r="Y152" s="331"/>
      <c r="Z152" s="331"/>
      <c r="AA152" s="331"/>
      <c r="AB152" s="172">
        <f t="shared" si="61"/>
        <v>0</v>
      </c>
      <c r="AC152" s="94"/>
      <c r="AD152" s="94"/>
      <c r="AE152" s="94"/>
      <c r="AF152" s="94"/>
      <c r="AG152" s="94"/>
      <c r="AH152" s="94"/>
      <c r="AI152" s="345">
        <v>0</v>
      </c>
      <c r="AJ152" s="346">
        <v>0</v>
      </c>
      <c r="AK152" s="99" t="s">
        <v>73</v>
      </c>
      <c r="AL152" s="169" t="s">
        <v>84</v>
      </c>
      <c r="AM152" s="186" t="s">
        <v>96</v>
      </c>
      <c r="AN152" s="169" t="s">
        <v>133</v>
      </c>
      <c r="AO152" s="186" t="s">
        <v>169</v>
      </c>
      <c r="AP152" s="458"/>
      <c r="AQ152" s="282"/>
      <c r="AR152" s="244"/>
      <c r="AS152" s="244"/>
      <c r="AT152" s="244">
        <v>0.5</v>
      </c>
      <c r="AU152" s="498">
        <v>1.6910000000000001</v>
      </c>
      <c r="AV152" s="258"/>
      <c r="AW152" s="127">
        <f t="shared" si="64"/>
        <v>2.1909999999999998</v>
      </c>
      <c r="AX152" s="443">
        <v>0.7</v>
      </c>
      <c r="AY152" s="299"/>
      <c r="AZ152" s="299"/>
      <c r="BA152" s="38">
        <f t="shared" si="56"/>
        <v>2.891</v>
      </c>
      <c r="BB152" s="129">
        <f>BA152/49</f>
        <v>5.8999999999999997E-2</v>
      </c>
      <c r="BC152" s="61">
        <v>50</v>
      </c>
      <c r="BD152" s="61">
        <v>45</v>
      </c>
      <c r="BE152" s="61">
        <v>0</v>
      </c>
      <c r="BF152" s="61">
        <v>30</v>
      </c>
      <c r="BG152" s="61">
        <v>0</v>
      </c>
      <c r="BH152" s="61">
        <v>20</v>
      </c>
      <c r="BI152" s="31">
        <f t="shared" si="58"/>
        <v>95</v>
      </c>
      <c r="BJ152" s="31">
        <f t="shared" si="57"/>
        <v>30</v>
      </c>
      <c r="BK152" s="32">
        <f t="shared" si="59"/>
        <v>20</v>
      </c>
      <c r="BL152" s="362">
        <f t="shared" si="60"/>
        <v>145</v>
      </c>
      <c r="BM152" s="365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</row>
    <row r="153" spans="1:87" ht="12.75" customHeight="1">
      <c r="A153" s="318" t="s">
        <v>431</v>
      </c>
      <c r="B153" s="95" t="s">
        <v>106</v>
      </c>
      <c r="C153" s="98" t="s">
        <v>432</v>
      </c>
      <c r="D153" s="98" t="s">
        <v>112</v>
      </c>
      <c r="E153" s="95" t="s">
        <v>488</v>
      </c>
      <c r="F153" s="207" t="s">
        <v>70</v>
      </c>
      <c r="G153" s="207" t="s">
        <v>70</v>
      </c>
      <c r="H153" s="212" t="s">
        <v>114</v>
      </c>
      <c r="I153" s="213" t="s">
        <v>82</v>
      </c>
      <c r="J153" s="229">
        <v>4</v>
      </c>
      <c r="K153" s="241">
        <v>3</v>
      </c>
      <c r="L153" s="240">
        <v>1</v>
      </c>
      <c r="M153" s="241"/>
      <c r="N153" s="172">
        <f t="shared" si="62"/>
        <v>3</v>
      </c>
      <c r="O153" s="331"/>
      <c r="P153" s="331">
        <v>3</v>
      </c>
      <c r="Q153" s="331"/>
      <c r="R153" s="331"/>
      <c r="S153" s="331"/>
      <c r="T153" s="331"/>
      <c r="U153" s="172">
        <f t="shared" si="63"/>
        <v>1</v>
      </c>
      <c r="V153" s="331"/>
      <c r="W153" s="331">
        <v>1</v>
      </c>
      <c r="X153" s="331"/>
      <c r="Y153" s="331"/>
      <c r="Z153" s="331"/>
      <c r="AA153" s="331"/>
      <c r="AB153" s="172">
        <f t="shared" si="61"/>
        <v>0</v>
      </c>
      <c r="AC153" s="94"/>
      <c r="AD153" s="94"/>
      <c r="AE153" s="94"/>
      <c r="AF153" s="94"/>
      <c r="AG153" s="94"/>
      <c r="AH153" s="94"/>
      <c r="AI153" s="345">
        <f>(L153+M153)/J153</f>
        <v>0.25</v>
      </c>
      <c r="AJ153" s="346">
        <f>AB153/J153</f>
        <v>0</v>
      </c>
      <c r="AK153" s="99" t="s">
        <v>73</v>
      </c>
      <c r="AL153" s="283" t="s">
        <v>114</v>
      </c>
      <c r="AM153" s="283" t="s">
        <v>125</v>
      </c>
      <c r="AN153" s="283" t="s">
        <v>109</v>
      </c>
      <c r="AO153" s="283" t="s">
        <v>115</v>
      </c>
      <c r="AP153" s="435">
        <v>0.35</v>
      </c>
      <c r="AQ153" s="284"/>
      <c r="AR153" s="438"/>
      <c r="AS153" s="438"/>
      <c r="AT153" s="438"/>
      <c r="AU153" s="438"/>
      <c r="AV153" s="285"/>
      <c r="AW153" s="127">
        <f t="shared" si="64"/>
        <v>0.35</v>
      </c>
      <c r="AX153" s="299"/>
      <c r="AY153" s="299"/>
      <c r="AZ153" s="299"/>
      <c r="BA153" s="38">
        <f t="shared" si="56"/>
        <v>0.35</v>
      </c>
      <c r="BB153" s="129">
        <f t="shared" si="67"/>
        <v>8.7499999999999994E-2</v>
      </c>
      <c r="BC153" s="61">
        <v>40</v>
      </c>
      <c r="BD153" s="61">
        <v>0</v>
      </c>
      <c r="BE153" s="61">
        <v>80</v>
      </c>
      <c r="BF153" s="61">
        <v>70</v>
      </c>
      <c r="BG153" s="61">
        <v>0</v>
      </c>
      <c r="BH153" s="61">
        <v>0</v>
      </c>
      <c r="BI153" s="31">
        <f t="shared" si="58"/>
        <v>40</v>
      </c>
      <c r="BJ153" s="31">
        <f t="shared" si="57"/>
        <v>150</v>
      </c>
      <c r="BK153" s="32">
        <f t="shared" si="59"/>
        <v>0</v>
      </c>
      <c r="BL153" s="362">
        <f t="shared" si="60"/>
        <v>190</v>
      </c>
      <c r="BM153" s="365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</row>
    <row r="154" spans="1:87" ht="12.75" customHeight="1">
      <c r="A154" s="318" t="s">
        <v>433</v>
      </c>
      <c r="B154" s="95" t="s">
        <v>434</v>
      </c>
      <c r="C154" s="76" t="s">
        <v>435</v>
      </c>
      <c r="D154" s="76" t="s">
        <v>251</v>
      </c>
      <c r="E154" s="462" t="s">
        <v>491</v>
      </c>
      <c r="F154" s="173" t="s">
        <v>70</v>
      </c>
      <c r="G154" s="173" t="s">
        <v>70</v>
      </c>
      <c r="H154" s="170" t="s">
        <v>109</v>
      </c>
      <c r="I154" s="194" t="s">
        <v>96</v>
      </c>
      <c r="J154" s="229">
        <v>50</v>
      </c>
      <c r="K154" s="235">
        <v>38</v>
      </c>
      <c r="L154" s="235">
        <v>12</v>
      </c>
      <c r="M154" s="219"/>
      <c r="N154" s="172">
        <f t="shared" si="62"/>
        <v>38</v>
      </c>
      <c r="O154" s="332"/>
      <c r="P154" s="332">
        <v>24</v>
      </c>
      <c r="Q154" s="332">
        <v>14</v>
      </c>
      <c r="R154" s="332"/>
      <c r="S154" s="332"/>
      <c r="T154" s="332"/>
      <c r="U154" s="172">
        <f t="shared" si="63"/>
        <v>12</v>
      </c>
      <c r="V154" s="332"/>
      <c r="W154" s="332">
        <v>8</v>
      </c>
      <c r="X154" s="332">
        <v>4</v>
      </c>
      <c r="Y154" s="332"/>
      <c r="Z154" s="332"/>
      <c r="AA154" s="332"/>
      <c r="AB154" s="172">
        <f t="shared" si="61"/>
        <v>0</v>
      </c>
      <c r="AC154" s="43"/>
      <c r="AD154" s="43"/>
      <c r="AE154" s="43"/>
      <c r="AF154" s="43"/>
      <c r="AG154" s="43"/>
      <c r="AH154" s="43"/>
      <c r="AI154" s="345">
        <f>(L154+M154)/J154</f>
        <v>0.24</v>
      </c>
      <c r="AJ154" s="346">
        <f>AB154/J154</f>
        <v>0</v>
      </c>
      <c r="AK154" s="46" t="s">
        <v>73</v>
      </c>
      <c r="AL154" s="169" t="s">
        <v>109</v>
      </c>
      <c r="AM154" s="169" t="s">
        <v>96</v>
      </c>
      <c r="AN154" s="169" t="s">
        <v>71</v>
      </c>
      <c r="AO154" s="169" t="s">
        <v>97</v>
      </c>
      <c r="AP154" s="271"/>
      <c r="AQ154" s="267">
        <v>1</v>
      </c>
      <c r="AR154" s="267">
        <v>2.9</v>
      </c>
      <c r="AS154" s="267"/>
      <c r="AT154" s="174"/>
      <c r="AU154" s="174"/>
      <c r="AV154" s="175"/>
      <c r="AW154" s="127">
        <f t="shared" si="64"/>
        <v>3.9</v>
      </c>
      <c r="AX154" s="176"/>
      <c r="AY154" s="176"/>
      <c r="AZ154" s="176"/>
      <c r="BA154" s="38">
        <f t="shared" si="56"/>
        <v>3.9</v>
      </c>
      <c r="BB154" s="129">
        <f t="shared" si="67"/>
        <v>7.8E-2</v>
      </c>
      <c r="BC154" s="163">
        <v>10</v>
      </c>
      <c r="BD154" s="163">
        <v>10</v>
      </c>
      <c r="BE154" s="163">
        <v>40</v>
      </c>
      <c r="BF154" s="163">
        <v>70</v>
      </c>
      <c r="BG154" s="65">
        <v>0</v>
      </c>
      <c r="BH154" s="53">
        <v>0</v>
      </c>
      <c r="BI154" s="31">
        <f t="shared" si="58"/>
        <v>20</v>
      </c>
      <c r="BJ154" s="31">
        <f t="shared" si="57"/>
        <v>110</v>
      </c>
      <c r="BK154" s="32">
        <f t="shared" si="59"/>
        <v>0</v>
      </c>
      <c r="BL154" s="362">
        <f t="shared" si="60"/>
        <v>130</v>
      </c>
      <c r="BM154" s="366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</row>
    <row r="155" spans="1:87" ht="12.75" customHeight="1">
      <c r="A155" s="381"/>
      <c r="B155" s="382"/>
      <c r="C155" s="382"/>
      <c r="D155" s="383"/>
      <c r="E155" s="464"/>
      <c r="F155" s="461"/>
      <c r="G155" s="384"/>
      <c r="H155" s="385"/>
      <c r="I155" s="385"/>
      <c r="J155" s="385"/>
      <c r="K155" s="386"/>
      <c r="L155" s="386"/>
      <c r="M155" s="386"/>
      <c r="N155" s="385"/>
      <c r="O155" s="387"/>
      <c r="P155" s="387"/>
      <c r="Q155" s="387"/>
      <c r="R155" s="387"/>
      <c r="S155" s="387"/>
      <c r="T155" s="387"/>
      <c r="U155" s="385"/>
      <c r="V155" s="387"/>
      <c r="W155" s="387"/>
      <c r="X155" s="387"/>
      <c r="Y155" s="387"/>
      <c r="Z155" s="387"/>
      <c r="AA155" s="387"/>
      <c r="AB155" s="385"/>
      <c r="AC155" s="387"/>
      <c r="AD155" s="387"/>
      <c r="AE155" s="387"/>
      <c r="AF155" s="387"/>
      <c r="AG155" s="387"/>
      <c r="AH155" s="387"/>
      <c r="AI155" s="342"/>
      <c r="AJ155" s="342"/>
      <c r="AK155" s="388"/>
      <c r="AL155" s="389"/>
      <c r="AM155" s="389"/>
      <c r="AN155" s="389"/>
      <c r="AO155" s="389"/>
      <c r="AP155" s="390"/>
      <c r="AQ155" s="390"/>
      <c r="AR155" s="390"/>
      <c r="AS155" s="390"/>
      <c r="AT155" s="390"/>
      <c r="AU155" s="390"/>
      <c r="AV155" s="390"/>
      <c r="AW155" s="390"/>
      <c r="AX155" s="390"/>
      <c r="AY155" s="390"/>
      <c r="AZ155" s="391"/>
      <c r="BA155" s="390"/>
      <c r="BB155" s="392"/>
      <c r="BC155" s="393"/>
      <c r="BD155" s="393"/>
      <c r="BE155" s="393"/>
      <c r="BF155" s="393"/>
      <c r="BG155" s="394"/>
      <c r="BH155" s="394"/>
      <c r="BI155" s="394"/>
      <c r="BJ155" s="394"/>
      <c r="BK155" s="394"/>
      <c r="BL155" s="394"/>
      <c r="BM155" s="395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</row>
    <row r="156" spans="1:87" ht="12.75" customHeight="1">
      <c r="A156" s="100"/>
      <c r="B156" s="101"/>
      <c r="C156" s="101"/>
      <c r="D156" s="101"/>
      <c r="E156" s="329"/>
      <c r="F156" s="102"/>
      <c r="G156" s="102"/>
      <c r="H156" s="103"/>
      <c r="I156" s="103"/>
      <c r="J156" s="103">
        <f>SUM(J6:J154)</f>
        <v>3859</v>
      </c>
      <c r="K156" s="104"/>
      <c r="L156" s="104"/>
      <c r="M156" s="104"/>
      <c r="N156" s="103">
        <f>SUM(N6:N154)</f>
        <v>2690</v>
      </c>
      <c r="O156" s="105"/>
      <c r="P156" s="105"/>
      <c r="Q156" s="105"/>
      <c r="R156" s="105"/>
      <c r="S156" s="105"/>
      <c r="T156" s="105"/>
      <c r="U156" s="103">
        <f>SUM(U6:U154)</f>
        <v>988</v>
      </c>
      <c r="V156" s="105"/>
      <c r="W156" s="105"/>
      <c r="X156" s="105"/>
      <c r="Y156" s="105"/>
      <c r="Z156" s="105"/>
      <c r="AA156" s="105"/>
      <c r="AB156" s="103">
        <f>SUM(AB6:AB154)</f>
        <v>183</v>
      </c>
      <c r="AC156" s="105"/>
      <c r="AD156" s="105"/>
      <c r="AE156" s="105"/>
      <c r="AF156" s="105"/>
      <c r="AG156" s="105"/>
      <c r="AH156" s="105"/>
      <c r="AI156" s="349">
        <f>(U156+AB156)/J156</f>
        <v>0.30344648872764968</v>
      </c>
      <c r="AJ156" s="349">
        <f>AB156/J156</f>
        <v>4.7421611816532781E-2</v>
      </c>
      <c r="AK156" s="106"/>
      <c r="AL156" s="107"/>
      <c r="AM156" s="107"/>
      <c r="AN156" s="107"/>
      <c r="AO156" s="107"/>
      <c r="AP156" s="108">
        <f>SUM(AP6:AP154)</f>
        <v>36.414000000000001</v>
      </c>
      <c r="AQ156" s="108">
        <f t="shared" ref="AQ156:AW156" si="68">SUM(AQ6:AQ154)</f>
        <v>51.61</v>
      </c>
      <c r="AR156" s="108">
        <f t="shared" si="68"/>
        <v>54.838250000000009</v>
      </c>
      <c r="AS156" s="108">
        <f t="shared" si="68"/>
        <v>46.754000000000005</v>
      </c>
      <c r="AT156" s="108">
        <f t="shared" si="68"/>
        <v>39.070984999999993</v>
      </c>
      <c r="AU156" s="108">
        <f t="shared" si="68"/>
        <v>42.861000000000004</v>
      </c>
      <c r="AV156" s="108">
        <f>SUM(AV6:AV154)</f>
        <v>8.9338499999999996</v>
      </c>
      <c r="AW156" s="108">
        <f t="shared" si="68"/>
        <v>280.48208500000004</v>
      </c>
      <c r="AX156" s="108">
        <f>SUM(AX6:AX155)</f>
        <v>7.7500000000000009</v>
      </c>
      <c r="AY156" s="108">
        <f>SUM(AY6:AY155)</f>
        <v>1.1766000000000001</v>
      </c>
      <c r="AZ156" s="109"/>
      <c r="BA156" s="108">
        <f>SUM(BA6:BA155)</f>
        <v>289.40868499999988</v>
      </c>
      <c r="BB156" s="109"/>
      <c r="BC156" s="380"/>
      <c r="BD156" s="380"/>
      <c r="BE156" s="380"/>
      <c r="BF156" s="380"/>
      <c r="BG156" s="110"/>
      <c r="BH156" s="110"/>
      <c r="BI156" s="110"/>
      <c r="BJ156" s="110"/>
      <c r="BK156" s="110"/>
      <c r="BL156" s="110"/>
      <c r="BM156" s="11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</row>
    <row r="157" spans="1:87" ht="12.75" customHeight="1">
      <c r="A157" s="112"/>
      <c r="B157" s="113"/>
      <c r="C157" s="113"/>
      <c r="D157" s="113"/>
      <c r="E157" s="113"/>
      <c r="F157" s="114"/>
      <c r="G157" s="114"/>
      <c r="H157" s="115"/>
      <c r="I157" s="115"/>
      <c r="J157" s="8"/>
      <c r="K157" s="8"/>
      <c r="L157" s="8"/>
      <c r="M157" s="8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114"/>
      <c r="AJ157" s="117"/>
      <c r="AK157" s="117"/>
      <c r="AL157" s="115"/>
      <c r="AM157" s="115"/>
      <c r="AN157" s="116"/>
      <c r="AO157" s="116" t="s">
        <v>436</v>
      </c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2"/>
      <c r="BB157" s="11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</row>
    <row r="158" spans="1:87" ht="12.75" customHeight="1">
      <c r="A158" s="112"/>
      <c r="B158" s="1"/>
      <c r="C158" s="112"/>
      <c r="D158" s="112"/>
      <c r="E158" s="112"/>
      <c r="F158" s="114"/>
      <c r="G158" s="114"/>
      <c r="H158" s="115"/>
      <c r="I158" s="115"/>
      <c r="J158" s="114"/>
      <c r="K158" s="117"/>
      <c r="L158" s="117"/>
      <c r="M158" s="117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360"/>
      <c r="AJ158" s="360"/>
      <c r="AK158" s="2"/>
      <c r="AL158" s="1"/>
      <c r="AM158" s="1"/>
      <c r="AN158" s="116"/>
      <c r="AO158" s="116"/>
      <c r="AP158" s="116"/>
      <c r="AQ158" s="116"/>
      <c r="AR158" s="116"/>
      <c r="AS158" s="116"/>
      <c r="AT158" s="116"/>
      <c r="AU158" s="118"/>
      <c r="AV158" s="116"/>
      <c r="AW158" s="597"/>
      <c r="AX158" s="116"/>
      <c r="AY158" s="116"/>
      <c r="AZ158" s="116"/>
      <c r="BA158" s="599"/>
      <c r="BB158" s="112"/>
      <c r="BC158" s="4"/>
      <c r="BD158" s="4"/>
      <c r="BE158" s="4"/>
      <c r="BF158" s="2"/>
      <c r="BG158" s="4"/>
      <c r="BH158" s="4"/>
      <c r="BI158" s="4"/>
      <c r="BJ158" s="4"/>
      <c r="BK158" s="112"/>
      <c r="BL158" s="112"/>
      <c r="BM158" s="116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</row>
    <row r="159" spans="1:87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2"/>
      <c r="K159" s="2"/>
      <c r="L159" s="2"/>
      <c r="M159" s="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2"/>
      <c r="AJ159" s="2"/>
      <c r="AK159" s="2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598"/>
      <c r="AX159" s="1"/>
      <c r="AY159" s="1"/>
      <c r="AZ159" s="1"/>
      <c r="BA159" s="4"/>
      <c r="BB159" s="4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</row>
    <row r="160" spans="1:87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2"/>
      <c r="K160" s="2"/>
      <c r="L160" s="2"/>
      <c r="M160" s="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2"/>
      <c r="AJ160" s="2"/>
      <c r="AK160" s="2"/>
      <c r="AL160" s="1"/>
      <c r="AM160" s="1"/>
      <c r="AN160" s="1"/>
      <c r="AO160" s="1"/>
      <c r="AP160" s="1"/>
      <c r="AQ160" s="121"/>
      <c r="AR160" s="121"/>
      <c r="AS160" s="121"/>
      <c r="AT160" s="121"/>
      <c r="AU160" s="121"/>
      <c r="AV160" s="1"/>
      <c r="AW160" s="1"/>
      <c r="AX160" s="1"/>
      <c r="AY160" s="1"/>
      <c r="AZ160" s="1"/>
      <c r="BA160" s="1"/>
      <c r="BB160" s="1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</row>
    <row r="161" spans="1:87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486"/>
      <c r="K161" s="2"/>
      <c r="L161" s="2"/>
      <c r="M161" s="2"/>
      <c r="N161" s="1"/>
      <c r="O161" s="1"/>
      <c r="P161" s="1"/>
      <c r="Q161" s="1"/>
      <c r="R161" s="1"/>
      <c r="S161" s="1"/>
      <c r="T161" s="1"/>
      <c r="U161" s="487"/>
      <c r="V161" s="1"/>
      <c r="W161" s="1"/>
      <c r="X161" s="1"/>
      <c r="Y161" s="1"/>
      <c r="Z161" s="1"/>
      <c r="AA161" s="1"/>
      <c r="AB161" s="121"/>
      <c r="AC161" s="1"/>
      <c r="AD161" s="1"/>
      <c r="AE161" s="1"/>
      <c r="AF161" s="1"/>
      <c r="AG161" s="1"/>
      <c r="AH161" s="1"/>
      <c r="AI161" s="2"/>
      <c r="AJ161" s="2"/>
      <c r="AK161" s="2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</row>
    <row r="162" spans="1:87" ht="12.75" customHeight="1">
      <c r="A162" s="1"/>
      <c r="B162" s="120"/>
      <c r="C162" s="1"/>
      <c r="D162" s="1"/>
      <c r="E162" s="1"/>
      <c r="F162" s="1"/>
      <c r="G162" s="1"/>
      <c r="H162" s="1"/>
      <c r="I162" s="1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2"/>
      <c r="AJ162" s="2"/>
      <c r="AK162" s="2"/>
      <c r="AL162" s="1"/>
      <c r="AM162" s="1"/>
      <c r="AN162" s="1"/>
      <c r="AO162" s="1"/>
      <c r="AP162" s="1"/>
      <c r="AQ162" s="12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</row>
    <row r="163" spans="1:87" ht="12.75" customHeight="1">
      <c r="A163" s="1"/>
      <c r="B163" s="120"/>
      <c r="C163" s="1"/>
      <c r="D163" s="1"/>
      <c r="E163" s="1"/>
      <c r="F163" s="1"/>
      <c r="G163" s="1"/>
      <c r="H163" s="1"/>
      <c r="I163" s="7" t="s">
        <v>436</v>
      </c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2"/>
      <c r="AJ163" s="1"/>
      <c r="AK163" s="1"/>
      <c r="AL163" s="1"/>
      <c r="AM163" s="1"/>
      <c r="AN163" s="1"/>
      <c r="AO163" s="359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</row>
    <row r="164" spans="1:87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2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</row>
    <row r="165" spans="1:87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2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</row>
    <row r="166" spans="1:87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2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2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</row>
    <row r="167" spans="1:8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2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</row>
    <row r="168" spans="1:87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</row>
    <row r="169" spans="1:87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2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</row>
    <row r="170" spans="1:87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</row>
    <row r="171" spans="1:87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</row>
    <row r="172" spans="1:87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23"/>
      <c r="L172" s="123"/>
      <c r="M172" s="12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</row>
    <row r="173" spans="1:87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19"/>
      <c r="L173" s="119"/>
      <c r="M173" s="119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</row>
    <row r="174" spans="1:87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2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</row>
    <row r="175" spans="1:87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2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</row>
    <row r="176" spans="1:87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2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</row>
    <row r="177" spans="1:8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2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</row>
    <row r="178" spans="1:87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25"/>
      <c r="L178" s="122"/>
      <c r="M178" s="12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2"/>
      <c r="BE178" s="2"/>
      <c r="BF178" s="2"/>
      <c r="BG178" s="2"/>
      <c r="BH178" s="2"/>
      <c r="BI178" s="2"/>
      <c r="BJ178" s="2"/>
      <c r="BK178" s="2"/>
      <c r="BL178" s="2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</row>
    <row r="179" spans="1:87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2"/>
      <c r="BE179" s="2"/>
      <c r="BF179" s="2"/>
      <c r="BG179" s="2"/>
      <c r="BH179" s="2"/>
      <c r="BI179" s="2"/>
      <c r="BJ179" s="2"/>
      <c r="BK179" s="2"/>
      <c r="BL179" s="2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</row>
    <row r="180" spans="1:87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2"/>
      <c r="BE180" s="2"/>
      <c r="BF180" s="2"/>
      <c r="BG180" s="2"/>
      <c r="BH180" s="2"/>
      <c r="BI180" s="2"/>
      <c r="BJ180" s="2"/>
      <c r="BK180" s="2"/>
      <c r="BL180" s="2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</row>
    <row r="181" spans="1:87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2"/>
      <c r="BE181" s="2"/>
      <c r="BF181" s="2"/>
      <c r="BG181" s="2"/>
      <c r="BH181" s="2"/>
      <c r="BI181" s="2"/>
      <c r="BJ181" s="2"/>
      <c r="BK181" s="2"/>
      <c r="BL181" s="2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</row>
    <row r="182" spans="1:87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2"/>
      <c r="BE182" s="2"/>
      <c r="BF182" s="2"/>
      <c r="BG182" s="2"/>
      <c r="BH182" s="2"/>
      <c r="BI182" s="2"/>
      <c r="BJ182" s="2"/>
      <c r="BK182" s="2"/>
      <c r="BL182" s="2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</row>
    <row r="183" spans="1:87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2"/>
      <c r="BE183" s="2"/>
      <c r="BF183" s="2"/>
      <c r="BG183" s="2"/>
      <c r="BH183" s="2"/>
      <c r="BI183" s="2"/>
      <c r="BJ183" s="2"/>
      <c r="BK183" s="2"/>
      <c r="BL183" s="2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</row>
    <row r="184" spans="1:87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2"/>
      <c r="BE184" s="2"/>
      <c r="BF184" s="2"/>
      <c r="BG184" s="2"/>
      <c r="BH184" s="2"/>
      <c r="BI184" s="2"/>
      <c r="BJ184" s="2"/>
      <c r="BK184" s="2"/>
      <c r="BL184" s="2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</row>
    <row r="185" spans="1:87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2"/>
      <c r="BE185" s="2"/>
      <c r="BF185" s="2"/>
      <c r="BG185" s="2"/>
      <c r="BH185" s="2"/>
      <c r="BI185" s="2"/>
      <c r="BJ185" s="2"/>
      <c r="BK185" s="2"/>
      <c r="BL185" s="2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</row>
    <row r="186" spans="1:87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2"/>
      <c r="BE186" s="2"/>
      <c r="BF186" s="2"/>
      <c r="BG186" s="2"/>
      <c r="BH186" s="2"/>
      <c r="BI186" s="2"/>
      <c r="BJ186" s="2"/>
      <c r="BK186" s="2"/>
      <c r="BL186" s="2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</row>
    <row r="187" spans="1: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2"/>
      <c r="BE187" s="2"/>
      <c r="BF187" s="2"/>
      <c r="BG187" s="2"/>
      <c r="BH187" s="2"/>
      <c r="BI187" s="2"/>
      <c r="BJ187" s="2"/>
      <c r="BK187" s="2"/>
      <c r="BL187" s="2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</row>
    <row r="188" spans="1:87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2"/>
      <c r="BE188" s="2"/>
      <c r="BF188" s="2"/>
      <c r="BG188" s="2"/>
      <c r="BH188" s="2"/>
      <c r="BI188" s="2"/>
      <c r="BJ188" s="2"/>
      <c r="BK188" s="2"/>
      <c r="BL188" s="2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</row>
    <row r="189" spans="1:87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2"/>
      <c r="BE189" s="2"/>
      <c r="BF189" s="2"/>
      <c r="BG189" s="2"/>
      <c r="BH189" s="2"/>
      <c r="BI189" s="2"/>
      <c r="BJ189" s="2"/>
      <c r="BK189" s="2"/>
      <c r="BL189" s="2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</row>
    <row r="190" spans="1:87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2"/>
      <c r="BE190" s="2"/>
      <c r="BF190" s="2"/>
      <c r="BG190" s="2"/>
      <c r="BH190" s="2"/>
      <c r="BI190" s="2"/>
      <c r="BJ190" s="2"/>
      <c r="BK190" s="2"/>
      <c r="BL190" s="2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</row>
    <row r="191" spans="1:87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2"/>
      <c r="BE191" s="2"/>
      <c r="BF191" s="2"/>
      <c r="BG191" s="2"/>
      <c r="BH191" s="2"/>
      <c r="BI191" s="2"/>
      <c r="BJ191" s="2"/>
      <c r="BK191" s="2"/>
      <c r="BL191" s="2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</row>
    <row r="192" spans="1:87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2"/>
      <c r="BE192" s="2"/>
      <c r="BF192" s="2"/>
      <c r="BG192" s="2"/>
      <c r="BH192" s="2"/>
      <c r="BI192" s="2"/>
      <c r="BJ192" s="2"/>
      <c r="BK192" s="2"/>
      <c r="BL192" s="2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</row>
    <row r="193" spans="1:87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2"/>
      <c r="BE193" s="2"/>
      <c r="BF193" s="2"/>
      <c r="BG193" s="2"/>
      <c r="BH193" s="2"/>
      <c r="BI193" s="2"/>
      <c r="BJ193" s="2"/>
      <c r="BK193" s="2"/>
      <c r="BL193" s="2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</row>
    <row r="194" spans="1:87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4"/>
      <c r="BB194" s="4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</row>
    <row r="195" spans="1:87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4"/>
      <c r="BB195" s="4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</row>
    <row r="196" spans="1:87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4"/>
      <c r="BB196" s="4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</row>
    <row r="197" spans="1:8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4"/>
      <c r="BB197" s="4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</row>
    <row r="198" spans="1:87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4"/>
      <c r="BB198" s="4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</row>
    <row r="199" spans="1:87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4"/>
      <c r="BB199" s="4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</row>
    <row r="200" spans="1:87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4"/>
      <c r="BB200" s="4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</row>
    <row r="201" spans="1:87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4"/>
      <c r="BB201" s="4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</row>
    <row r="202" spans="1:87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4"/>
      <c r="BB202" s="4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</row>
    <row r="203" spans="1:87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4"/>
      <c r="BB203" s="4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</row>
    <row r="204" spans="1:87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4"/>
      <c r="BB204" s="4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</row>
    <row r="205" spans="1:87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4"/>
      <c r="BB205" s="4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</row>
    <row r="206" spans="1:87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4"/>
      <c r="BB206" s="4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</row>
    <row r="207" spans="1:8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4"/>
      <c r="BB207" s="4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</row>
    <row r="208" spans="1:87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4"/>
      <c r="BB208" s="4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</row>
    <row r="209" spans="1:87" ht="12.75" customHeight="1">
      <c r="A209" s="1"/>
      <c r="B209" s="1"/>
      <c r="C209" s="1"/>
      <c r="D209" s="34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4"/>
      <c r="BB209" s="4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</row>
    <row r="210" spans="1:87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4"/>
      <c r="BB210" s="4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</row>
    <row r="211" spans="1:87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4"/>
      <c r="BB211" s="4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</row>
    <row r="212" spans="1:87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4"/>
      <c r="BB212" s="4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</row>
    <row r="213" spans="1:87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4"/>
      <c r="BB213" s="4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</row>
    <row r="214" spans="1:87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4"/>
      <c r="BB214" s="4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</row>
    <row r="215" spans="1:87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4"/>
      <c r="BB215" s="4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</row>
    <row r="216" spans="1:87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4"/>
      <c r="BB216" s="4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</row>
    <row r="217" spans="1:8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4"/>
      <c r="BB217" s="4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</row>
    <row r="218" spans="1:87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4"/>
      <c r="BB218" s="4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</row>
    <row r="219" spans="1:87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4"/>
      <c r="BB219" s="4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</row>
    <row r="220" spans="1:87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4"/>
      <c r="BB220" s="4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</row>
    <row r="221" spans="1:87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4"/>
      <c r="BB221" s="4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</row>
    <row r="222" spans="1:87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4"/>
      <c r="BB222" s="4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</row>
    <row r="223" spans="1:87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4"/>
      <c r="BB223" s="4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</row>
    <row r="224" spans="1:87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4"/>
      <c r="BB224" s="4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</row>
    <row r="225" spans="1:87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4"/>
      <c r="BB225" s="4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</row>
    <row r="226" spans="1:87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4"/>
      <c r="BB226" s="4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</row>
    <row r="227" spans="1:8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4"/>
      <c r="BB227" s="4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</row>
    <row r="228" spans="1:87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4"/>
      <c r="BB228" s="4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</row>
    <row r="229" spans="1:87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4"/>
      <c r="BB229" s="4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</row>
    <row r="230" spans="1:87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4"/>
      <c r="BB230" s="4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</row>
    <row r="231" spans="1:87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4"/>
      <c r="BB231" s="4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</row>
    <row r="232" spans="1:87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4"/>
      <c r="BB232" s="4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</row>
    <row r="233" spans="1:87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4"/>
      <c r="BB233" s="4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</row>
    <row r="234" spans="1:87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340"/>
      <c r="AJ234" s="34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4"/>
      <c r="BB234" s="4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</row>
    <row r="235" spans="1:87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340"/>
      <c r="AJ235" s="34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4"/>
      <c r="BB235" s="4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</row>
    <row r="236" spans="1:87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340"/>
      <c r="AJ236" s="34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4"/>
      <c r="BB236" s="4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</row>
    <row r="237" spans="1:8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340"/>
      <c r="AJ237" s="34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4"/>
      <c r="BB237" s="4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</row>
    <row r="238" spans="1:87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340"/>
      <c r="AJ238" s="34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4"/>
      <c r="BB238" s="4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</row>
    <row r="239" spans="1:87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340"/>
      <c r="AJ239" s="34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4"/>
      <c r="BB239" s="4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</row>
    <row r="240" spans="1:87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340"/>
      <c r="AJ240" s="34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4"/>
      <c r="BB240" s="4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</row>
    <row r="241" spans="1:87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340"/>
      <c r="AJ241" s="34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4"/>
      <c r="BB241" s="4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</row>
    <row r="242" spans="1:87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340"/>
      <c r="AJ242" s="34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4"/>
      <c r="BB242" s="4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</row>
    <row r="243" spans="1:87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340"/>
      <c r="AJ243" s="34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4"/>
      <c r="BB243" s="4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</row>
    <row r="244" spans="1:87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340"/>
      <c r="AJ244" s="34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4"/>
      <c r="BB244" s="4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</row>
    <row r="245" spans="1:87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340"/>
      <c r="AJ245" s="34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4"/>
      <c r="BB245" s="4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</row>
    <row r="246" spans="1:87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340"/>
      <c r="AJ246" s="34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4"/>
      <c r="BB246" s="4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</row>
    <row r="247" spans="1:8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340"/>
      <c r="AJ247" s="34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4"/>
      <c r="BB247" s="4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</row>
    <row r="248" spans="1:87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340"/>
      <c r="AJ248" s="34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4"/>
      <c r="BB248" s="4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</row>
    <row r="249" spans="1:87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340"/>
      <c r="AJ249" s="34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4"/>
      <c r="BB249" s="4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</row>
    <row r="250" spans="1:87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340"/>
      <c r="AJ250" s="34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4"/>
      <c r="BB250" s="4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</row>
    <row r="251" spans="1:87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340"/>
      <c r="AJ251" s="34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4"/>
      <c r="BB251" s="4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</row>
    <row r="252" spans="1:87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340"/>
      <c r="AJ252" s="34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4"/>
      <c r="BB252" s="4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</row>
    <row r="253" spans="1:87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340"/>
      <c r="AJ253" s="34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4"/>
      <c r="BB253" s="4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</row>
    <row r="254" spans="1:87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340"/>
      <c r="AJ254" s="34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4"/>
      <c r="BB254" s="4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</row>
    <row r="255" spans="1:87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340"/>
      <c r="AJ255" s="34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4"/>
      <c r="BB255" s="4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</row>
    <row r="256" spans="1:87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340"/>
      <c r="AJ256" s="34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4"/>
      <c r="BB256" s="4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</row>
    <row r="257" spans="1:8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340"/>
      <c r="AJ257" s="34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4"/>
      <c r="BB257" s="4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</row>
    <row r="258" spans="1:87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340"/>
      <c r="AJ258" s="34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4"/>
      <c r="BB258" s="4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</row>
    <row r="259" spans="1:87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340"/>
      <c r="AJ259" s="34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4"/>
      <c r="BB259" s="4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</row>
    <row r="260" spans="1:87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340"/>
      <c r="AJ260" s="34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4"/>
      <c r="BB260" s="4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</row>
    <row r="261" spans="1:87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340"/>
      <c r="AJ261" s="34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4"/>
      <c r="BB261" s="4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</row>
    <row r="262" spans="1:87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340"/>
      <c r="AJ262" s="34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4"/>
      <c r="BB262" s="4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</row>
    <row r="263" spans="1:87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340"/>
      <c r="AJ263" s="34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4"/>
      <c r="BB263" s="4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</row>
    <row r="264" spans="1:87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340"/>
      <c r="AJ264" s="34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4"/>
      <c r="BB264" s="4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</row>
    <row r="265" spans="1:87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340"/>
      <c r="AJ265" s="34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4"/>
      <c r="BB265" s="4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</row>
    <row r="266" spans="1:87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340"/>
      <c r="AJ266" s="34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4"/>
      <c r="BB266" s="4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</row>
    <row r="267" spans="1:8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340"/>
      <c r="AJ267" s="34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4"/>
      <c r="BB267" s="4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</row>
    <row r="268" spans="1:87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340"/>
      <c r="AJ268" s="34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4"/>
      <c r="BB268" s="4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</row>
    <row r="269" spans="1:87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340"/>
      <c r="AJ269" s="34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4"/>
      <c r="BB269" s="4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</row>
    <row r="270" spans="1:87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340"/>
      <c r="AJ270" s="34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4"/>
      <c r="BB270" s="4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</row>
    <row r="271" spans="1:87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340"/>
      <c r="AJ271" s="34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4"/>
      <c r="BB271" s="4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</row>
    <row r="272" spans="1:87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340"/>
      <c r="AJ272" s="34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4"/>
      <c r="BB272" s="4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</row>
    <row r="273" spans="1:87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340"/>
      <c r="AJ273" s="34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4"/>
      <c r="BB273" s="4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</row>
    <row r="274" spans="1:87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340"/>
      <c r="AJ274" s="34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4"/>
      <c r="BB274" s="4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</row>
    <row r="275" spans="1:87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340"/>
      <c r="AJ275" s="34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4"/>
      <c r="BB275" s="4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</row>
    <row r="276" spans="1:87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340"/>
      <c r="AJ276" s="34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4"/>
      <c r="BB276" s="4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</row>
    <row r="277" spans="1:8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340"/>
      <c r="AJ277" s="34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4"/>
      <c r="BB277" s="4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</row>
    <row r="278" spans="1:87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340"/>
      <c r="AJ278" s="34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4"/>
      <c r="BB278" s="4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</row>
    <row r="279" spans="1:87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340"/>
      <c r="AJ279" s="34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4"/>
      <c r="BB279" s="4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</row>
    <row r="280" spans="1:87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340"/>
      <c r="AJ280" s="34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4"/>
      <c r="BB280" s="4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</row>
    <row r="281" spans="1:87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340"/>
      <c r="AJ281" s="34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4"/>
      <c r="BB281" s="4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</row>
    <row r="282" spans="1:87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340"/>
      <c r="AJ282" s="34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4"/>
      <c r="BB282" s="4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</row>
    <row r="283" spans="1:87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340"/>
      <c r="AJ283" s="34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4"/>
      <c r="BB283" s="4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</row>
    <row r="284" spans="1:87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340"/>
      <c r="AJ284" s="34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4"/>
      <c r="BB284" s="4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</row>
    <row r="285" spans="1:87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340"/>
      <c r="AJ285" s="34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4"/>
      <c r="BB285" s="4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</row>
    <row r="286" spans="1:87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340"/>
      <c r="AJ286" s="34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4"/>
      <c r="BB286" s="4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</row>
    <row r="287" spans="1: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340"/>
      <c r="AJ287" s="34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4"/>
      <c r="BB287" s="4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</row>
    <row r="288" spans="1:87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340"/>
      <c r="AJ288" s="34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4"/>
      <c r="BB288" s="4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</row>
    <row r="289" spans="1:87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340"/>
      <c r="AJ289" s="34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4"/>
      <c r="BB289" s="4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</row>
    <row r="290" spans="1:87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340"/>
      <c r="AJ290" s="34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4"/>
      <c r="BB290" s="4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</row>
    <row r="291" spans="1:87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340"/>
      <c r="AJ291" s="34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4"/>
      <c r="BB291" s="4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</row>
    <row r="292" spans="1:87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340"/>
      <c r="AJ292" s="34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4"/>
      <c r="BB292" s="4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</row>
    <row r="293" spans="1:87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340"/>
      <c r="AJ293" s="34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4"/>
      <c r="BB293" s="4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</row>
    <row r="294" spans="1:87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340"/>
      <c r="AJ294" s="34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4"/>
      <c r="BB294" s="4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</row>
    <row r="295" spans="1:87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340"/>
      <c r="AJ295" s="34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4"/>
      <c r="BB295" s="4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</row>
    <row r="296" spans="1:87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340"/>
      <c r="AJ296" s="34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4"/>
      <c r="BB296" s="4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</row>
    <row r="1048570" spans="35:36" ht="15" customHeight="1">
      <c r="AI1048570"/>
      <c r="AJ1048570"/>
    </row>
    <row r="1048571" spans="35:36" ht="15" customHeight="1">
      <c r="AI1048571"/>
      <c r="AJ1048571"/>
    </row>
    <row r="1048572" spans="35:36" ht="15" customHeight="1">
      <c r="AI1048572"/>
      <c r="AJ1048572"/>
    </row>
    <row r="1048573" spans="35:36" ht="15" customHeight="1">
      <c r="AI1048573"/>
      <c r="AJ1048573"/>
    </row>
  </sheetData>
  <sheetProtection algorithmName="SHA-512" hashValue="iQ/d4UIGuoAnznfQ93znfpybaKgu+mKHiL10zYCEdWjHNhh5Tz3oFhD52KcGHbxUKhIshZ7xv7yuyZ66/Jr9wQ==" saltValue="yahiMTJlRET5qSBZD/wJ6g==" spinCount="100000" sheet="1" objects="1" scenarios="1"/>
  <autoFilter ref="A5:BM154" xr:uid="{F04086D0-075D-4AC0-8E2C-C7C9418F82F8}">
    <sortState ref="A6:BM154">
      <sortCondition ref="C6:C154"/>
      <sortCondition ref="B6:B154"/>
    </sortState>
  </autoFilter>
  <customSheetViews>
    <customSheetView guid="{6936D4CB-4921-444A-B4FC-DFB2F2C1FA83}" filter="1" showAutoFilter="1">
      <pageMargins left="0.7" right="0.7" top="0.75" bottom="0.75" header="0.3" footer="0.3"/>
      <autoFilter ref="A5:BW181" xr:uid="{00000000-0000-0000-0000-000000000000}">
        <filterColumn colId="8">
          <filters>
            <filter val="KI"/>
          </filters>
        </filterColumn>
      </autoFilter>
      <extLst>
        <ext uri="GoogleSheetsCustomDataVersion1">
          <go:sheetsCustomData xmlns:go="http://customooxmlschemas.google.com/" filterViewId="158396299"/>
        </ext>
      </extLst>
    </customSheetView>
    <customSheetView guid="{258F6159-5653-4A41-82DC-000661787A8C}" filter="1" showAutoFilter="1">
      <pageMargins left="0.7" right="0.7" top="0.75" bottom="0.75" header="0.3" footer="0.3"/>
      <autoFilter ref="A5:BW189" xr:uid="{00000000-0000-0000-0000-000000000000}"/>
      <extLst>
        <ext uri="GoogleSheetsCustomDataVersion1">
          <go:sheetsCustomData xmlns:go="http://customooxmlschemas.google.com/" filterViewId="84009817"/>
        </ext>
      </extLst>
    </customSheetView>
    <customSheetView guid="{D5B67DCE-DF1C-4FD1-B746-0FE864BC62C5}" filter="1" showAutoFilter="1">
      <pageMargins left="0.7" right="0.7" top="0.75" bottom="0.75" header="0.3" footer="0.3"/>
      <autoFilter ref="A5:BW189" xr:uid="{00000000-0000-0000-0000-000000000000}">
        <filterColumn colId="49">
          <filters>
            <filter val="£0.000"/>
            <filter val="£0.118"/>
            <filter val="£0.125"/>
            <filter val="£0.157"/>
            <filter val="£0.200"/>
            <filter val="£0.292"/>
            <filter val="£0.300"/>
            <filter val="£0.320"/>
            <filter val="£0.332"/>
            <filter val="£0.343"/>
            <filter val="£0.416"/>
            <filter val="£0.456"/>
            <filter val="£0.500"/>
            <filter val="£0.550"/>
            <filter val="£0.600"/>
            <filter val="£0.613"/>
            <filter val="£0.742"/>
            <filter val="£0.800"/>
            <filter val="£0.815"/>
            <filter val="£0.916"/>
            <filter val="£0.952"/>
            <filter val="£0.992"/>
            <filter val="£1.000"/>
            <filter val="£1.062"/>
            <filter val="£1.137"/>
            <filter val="£1.240"/>
            <filter val="£1.288"/>
            <filter val="£1.482"/>
            <filter val="£1.625"/>
            <filter val="£1.800"/>
            <filter val="£2.000"/>
            <filter val="£2.800"/>
            <filter val="£3.000"/>
          </filters>
        </filterColumn>
      </autoFilter>
      <extLst>
        <ext uri="GoogleSheetsCustomDataVersion1">
          <go:sheetsCustomData xmlns:go="http://customooxmlschemas.google.com/" filterViewId="351894744"/>
        </ext>
      </extLst>
    </customSheetView>
    <customSheetView guid="{ECDA673F-A132-4F48-B1B3-864898FBCA5F}" filter="1" showAutoFilter="1">
      <pageMargins left="0.7" right="0.7" top="0.75" bottom="0.75" header="0.3" footer="0.3"/>
      <autoFilter ref="A5:BW189" xr:uid="{00000000-0000-0000-0000-000000000000}"/>
      <extLst>
        <ext uri="GoogleSheetsCustomDataVersion1">
          <go:sheetsCustomData xmlns:go="http://customooxmlschemas.google.com/" filterViewId="281250821"/>
        </ext>
      </extLst>
    </customSheetView>
    <customSheetView guid="{FB0D0DB9-14D5-43B4-AD42-62319A02D296}" filter="1" showAutoFilter="1">
      <pageMargins left="0.7" right="0.7" top="0.75" bottom="0.75" header="0.3" footer="0.3"/>
      <autoFilter ref="A5:BW189" xr:uid="{00000000-0000-0000-0000-000000000000}">
        <filterColumn colId="5">
          <filters>
            <filter val="251-261 High Street (Former Co-op)"/>
            <filter val="Aberdour Road"/>
            <filter val="Aberdour Road (Former Pitcorthie PS) (EC Housing)"/>
            <filter val="Bell Street"/>
            <filter val="Blacklaw Road Phase 2 (EC Housing)"/>
            <filter val="Carslogie Road, Former Police Station,"/>
            <filter val="Cash Feus Phase 1"/>
            <filter val="Cash Feus Phase 2"/>
            <filter val="Commercial Crescent Ph 2"/>
            <filter val="Commercial Crescent Ph 3"/>
            <filter val="Dalgairn (New Care Village)"/>
            <filter val="Dover Heights"/>
            <filter val="Former Denbeath Church"/>
            <filter val="Former Greenmount Hotel"/>
            <filter val="Ged Mill Close"/>
            <filter val="Glen Albyn Drive, Phase 1 &amp; 2"/>
            <filter val="Haig Busness Park"/>
            <filter val="Hilton Gardens"/>
            <filter val="Hugh Place"/>
            <filter val="Ingrie Farm"/>
            <filter val="Kirkland (New Care Village)"/>
            <filter val="Langside Road"/>
            <filter val="Lochgelly Road LPH001"/>
            <filter val="Main street"/>
            <filter val="Markinch South (MAR001)"/>
            <filter val="Mayview Court  (New Care Village)"/>
            <filter val="Millburn Avenue"/>
            <filter val="Napier Road, (Former Police Station)"/>
            <filter val="Natal Place"/>
            <filter val="North Fod Phase 2 (EC Housing)"/>
            <filter val="Open Market Transactions 20/21 Phase 1"/>
            <filter val="Open Market Transactions 20/21 Phase 2"/>
            <filter val="Open Market Transactions 21/22 Phase 1"/>
            <filter val="Open Market Transactions 21/22 Phase 2"/>
            <filter val="Ordnance Road"/>
            <filter val="Pitlethie Road Phase 2"/>
            <filter val="Postings"/>
            <filter val="Prestonhill Quarry"/>
            <filter val="Primrose Lane North"/>
            <filter val="Queensgate, Former Tullis Russell Mill"/>
            <filter val="Queensgate, Former Tullis Russell Mill Phase 2"/>
            <filter val="Rosemount Grove"/>
            <filter val="Rosewell Drive"/>
            <filter val="South Avenue (South)"/>
            <filter val="Strathore Road (Thornton SLA)"/>
            <filter val="Toll Road Phase 2A"/>
            <filter val="Toll Road Phase 2B"/>
            <filter val="Toll Road Phase 3"/>
            <filter val="Townhill Road (DUN038) Phase 1"/>
            <filter val="Townhill Road (DUN038) Phase 2"/>
            <filter val="Westwood Phase 2"/>
          </filters>
        </filterColumn>
      </autoFilter>
      <extLst>
        <ext uri="GoogleSheetsCustomDataVersion1">
          <go:sheetsCustomData xmlns:go="http://customooxmlschemas.google.com/" filterViewId="226819928"/>
        </ext>
      </extLst>
    </customSheetView>
    <customSheetView guid="{F0093033-422E-4EAA-9989-3A06A4B2917A}" filter="1" showAutoFilter="1">
      <pageMargins left="0.7" right="0.7" top="0.75" bottom="0.75" header="0.3" footer="0.3"/>
      <autoFilter ref="A5:BW189" xr:uid="{00000000-0000-0000-0000-000000000000}">
        <filterColumn colId="6">
          <filters>
            <filter val="Buckhaven"/>
            <filter val="Carnock"/>
            <filter val="Kirkcaldy"/>
            <filter val="Leven"/>
            <filter val="Lochore"/>
            <filter val="Lumphinnans"/>
            <filter val="Newburgh"/>
          </filters>
        </filterColumn>
      </autoFilter>
      <extLst>
        <ext uri="GoogleSheetsCustomDataVersion1">
          <go:sheetsCustomData xmlns:go="http://customooxmlschemas.google.com/" filterViewId="221280013"/>
        </ext>
      </extLst>
    </customSheetView>
    <customSheetView guid="{426B88EF-EAEF-4B2F-9A1A-40561C994C39}" filter="1" showAutoFilter="1">
      <pageMargins left="0.7" right="0.7" top="0.75" bottom="0.75" header="0.3" footer="0.3"/>
      <autoFilter ref="A5:BW189" xr:uid="{00000000-0000-0000-0000-000000000000}"/>
      <extLst>
        <ext uri="GoogleSheetsCustomDataVersion1">
          <go:sheetsCustomData xmlns:go="http://customooxmlschemas.google.com/" filterViewId="198432928"/>
        </ext>
      </extLst>
    </customSheetView>
    <customSheetView guid="{246C3309-2F3F-4BFA-8788-BFA07AB7A25E}" filter="1" showAutoFilter="1">
      <pageMargins left="0.7" right="0.7" top="0.75" bottom="0.75" header="0.3" footer="0.3"/>
      <autoFilter ref="A5:BW189" xr:uid="{00000000-0000-0000-0000-000000000000}">
        <filterColumn colId="5">
          <filters>
            <filter val="251-261 High Street (Former Co-op)"/>
            <filter val="Aberdour Road"/>
            <filter val="Aberdour Road (Former Pitcorthie PS) (EC Housing)"/>
            <filter val="Anderson Drive"/>
            <filter val="Bell Street"/>
            <filter val="Blacklaw Road Phase 2 (EC Housing)"/>
            <filter val="Carslogie Road, Former Police Station,"/>
            <filter val="Cash Feus Phase 1"/>
            <filter val="Cash Feus Phase 2"/>
            <filter val="Commercial Crescent Ph 2"/>
            <filter val="Commercial Crescent Ph 3"/>
            <filter val="Dalgairn (New Care Village)"/>
            <filter val="Dover Heights"/>
            <filter val="Former Denbeath Church"/>
            <filter val="Former Greenmount Hotel"/>
            <filter val="Ged Mill Close"/>
            <filter val="Glen Albyn Drive, Phase 1 &amp; 2"/>
            <filter val="Haig Busness Park"/>
            <filter val="Hilton Gardens"/>
            <filter val="Ingrie Farm"/>
            <filter val="Kirkland (New Care Village)"/>
            <filter val="Langside Road"/>
            <filter val="Lochgelly Road LPH001"/>
            <filter val="Main street"/>
            <filter val="Markinch South (MAR001)"/>
            <filter val="Mayview Court  (New Care Village)"/>
            <filter val="Millburn Avenue"/>
            <filter val="Napier Road, (Former Police Station)"/>
            <filter val="Natal Place"/>
            <filter val="North Fod Phase 2 (EC Housing)"/>
            <filter val="Open Market Transactions 20/21 Phase 1"/>
            <filter val="Open Market Transactions 20/21 Phase 2"/>
            <filter val="Open Market Transactions 21/22 Phase 1"/>
            <filter val="Open Market Transactions 21/22 Phase 2"/>
            <filter val="Ordnance Road"/>
            <filter val="Pitlethie Road Phase 2"/>
            <filter val="Postings"/>
            <filter val="Prestonhill Quarry"/>
            <filter val="Primrose Lane North"/>
            <filter val="Queensgate, Former Tullis Russell Mill"/>
            <filter val="Queensgate, Former Tullis Russell Mill Phase 2"/>
            <filter val="Rosemount Grove"/>
            <filter val="Rosewell Drive"/>
            <filter val="South Avenue (South)"/>
            <filter val="Strathore Road (Thornton SLA)"/>
            <filter val="Toll Road Phase 3"/>
            <filter val="Westwood Phase 2"/>
          </filters>
        </filterColumn>
      </autoFilter>
      <extLst>
        <ext uri="GoogleSheetsCustomDataVersion1">
          <go:sheetsCustomData xmlns:go="http://customooxmlschemas.google.com/" filterViewId="1734246548"/>
        </ext>
      </extLst>
    </customSheetView>
    <customSheetView guid="{CF70CE5B-251B-48AA-ADA5-7E512A531774}" filter="1" showAutoFilter="1">
      <pageMargins left="0.7" right="0.7" top="0.75" bottom="0.75" header="0.3" footer="0.3"/>
      <autoFilter ref="A5:BW189" xr:uid="{00000000-0000-0000-0000-000000000000}">
        <filterColumn colId="6">
          <filters>
            <filter val="Buckhaven"/>
            <filter val="Carnock"/>
            <filter val="Cupar"/>
            <filter val="Leven"/>
            <filter val="Lochore"/>
            <filter val="Lumphinnans"/>
            <filter val="Newburgh"/>
          </filters>
        </filterColumn>
      </autoFilter>
      <extLst>
        <ext uri="GoogleSheetsCustomDataVersion1">
          <go:sheetsCustomData xmlns:go="http://customooxmlschemas.google.com/" filterViewId="1722869838"/>
        </ext>
      </extLst>
    </customSheetView>
    <customSheetView guid="{6E8BD811-84D8-4D91-A870-1C9E394BB6E9}" filter="1" showAutoFilter="1">
      <pageMargins left="0.7" right="0.7" top="0.75" bottom="0.75" header="0.3" footer="0.3"/>
      <autoFilter ref="A5:BW189" xr:uid="{00000000-0000-0000-0000-000000000000}">
        <filterColumn colId="5">
          <filters>
            <filter val="251-261 High Street (Former Co-op)"/>
            <filter val="Aberdour Road"/>
            <filter val="Aberdour Road (Former Pitcorthie PS) (EC Housing)"/>
            <filter val="Anderson Drive"/>
            <filter val="Bell Street"/>
            <filter val="Blacklaw Road Phase 2 (EC Housing)"/>
            <filter val="Carslogie Road, Former Police Station,"/>
            <filter val="Cash Feus Phase 1"/>
            <filter val="Cash Feus Phase 2"/>
            <filter val="Commercial Crescent Ph 2"/>
            <filter val="Commercial Crescent Ph 3"/>
            <filter val="Dalgairn (New Care Village)"/>
            <filter val="Dover Heights"/>
            <filter val="Former Denbeath Church"/>
            <filter val="Former Greenmount Hotel"/>
            <filter val="Ged Mill Close"/>
            <filter val="Glen Albyn Drive, Phase 1 &amp; 2"/>
            <filter val="Haig Busness Park"/>
            <filter val="Hilton Gardens"/>
            <filter val="Ingrie Farm"/>
            <filter val="Kirkland (New Care Village)"/>
            <filter val="Langside Road"/>
            <filter val="Lochgelly Road LPH001"/>
            <filter val="Main street"/>
            <filter val="Markinch South (MAR001)"/>
            <filter val="Mayview Court  (New Care Village)"/>
            <filter val="Millburn Avenue"/>
            <filter val="Napier Road, (Former Police Station)"/>
            <filter val="Natal Place"/>
            <filter val="North Fod Phase 2 (EC Housing)"/>
            <filter val="Open Market Transactions 20/21 Phase 1"/>
            <filter val="Open Market Transactions 20/21 Phase 2"/>
            <filter val="Open Market Transactions 21/22 Phase 1"/>
            <filter val="Open Market Transactions 21/22 Phase 2"/>
            <filter val="Ordnance Road"/>
            <filter val="Pitlethie Road Phase 2"/>
            <filter val="Postings"/>
            <filter val="Prestonhill Quarry"/>
            <filter val="Primrose Lane North"/>
            <filter val="Queensgate, Former Tullis Russell Mill"/>
            <filter val="Queensgate, Former Tullis Russell Mill Phase 2"/>
            <filter val="Rosemount Grove"/>
            <filter val="Rosewell Drive"/>
            <filter val="South Avenue (South)"/>
            <filter val="Strathore Road (Thornton SLA)"/>
            <filter val="Toll Road Phase 3"/>
            <filter val="Westwood Phase 2"/>
          </filters>
        </filterColumn>
      </autoFilter>
      <extLst>
        <ext uri="GoogleSheetsCustomDataVersion1">
          <go:sheetsCustomData xmlns:go="http://customooxmlschemas.google.com/" filterViewId="1454726634"/>
        </ext>
      </extLst>
    </customSheetView>
    <customSheetView guid="{060E8092-851C-4E22-8AD6-C369483183D2}" filter="1" showAutoFilter="1">
      <pageMargins left="0.7" right="0.7" top="0.75" bottom="0.75" header="0.3" footer="0.3"/>
      <autoFilter ref="A1:A3" xr:uid="{00000000-0000-0000-0000-000000000000}"/>
      <extLst>
        <ext uri="GoogleSheetsCustomDataVersion1">
          <go:sheetsCustomData xmlns:go="http://customooxmlschemas.google.com/" filterViewId="402111232"/>
        </ext>
      </extLst>
    </customSheetView>
    <customSheetView guid="{C5C96300-C1F4-4BEB-B806-98478CEAFDCA}" filter="1" showAutoFilter="1">
      <pageMargins left="0.7" right="0.7" top="0.75" bottom="0.75" header="0.3" footer="0.3"/>
      <autoFilter ref="A1:A3" xr:uid="{00000000-0000-0000-0000-000000000000}"/>
      <extLst>
        <ext uri="GoogleSheetsCustomDataVersion1">
          <go:sheetsCustomData xmlns:go="http://customooxmlschemas.google.com/" filterViewId="2138457479"/>
        </ext>
      </extLst>
    </customSheetView>
    <customSheetView guid="{21DEE4F9-25B2-40D3-B247-772ADBA86CE9}" filter="1" showAutoFilter="1">
      <pageMargins left="0.7" right="0.7" top="0.75" bottom="0.75" header="0.3" footer="0.3"/>
      <autoFilter ref="A1:A3" xr:uid="{00000000-0000-0000-0000-000000000000}"/>
      <extLst>
        <ext uri="GoogleSheetsCustomDataVersion1">
          <go:sheetsCustomData xmlns:go="http://customooxmlschemas.google.com/" filterViewId="1676056031"/>
        </ext>
      </extLst>
    </customSheetView>
    <customSheetView guid="{9D2547DD-9857-44D2-918C-5226B66C2027}" filter="1" showAutoFilter="1">
      <pageMargins left="0.7" right="0.7" top="0.75" bottom="0.75" header="0.3" footer="0.3"/>
      <autoFilter ref="A1:A3" xr:uid="{00000000-0000-0000-0000-000000000000}"/>
      <extLst>
        <ext uri="GoogleSheetsCustomDataVersion1">
          <go:sheetsCustomData xmlns:go="http://customooxmlschemas.google.com/" filterViewId="1422649377"/>
        </ext>
      </extLst>
    </customSheetView>
    <customSheetView guid="{D51A51C7-AEF7-4AD4-94AF-DEF7CFBE1AEF}" filter="1" showAutoFilter="1">
      <pageMargins left="0.7" right="0.7" top="0.75" bottom="0.75" header="0.3" footer="0.3"/>
      <autoFilter ref="I193" xr:uid="{00000000-0000-0000-0000-000000000000}"/>
      <extLst>
        <ext uri="GoogleSheetsCustomDataVersion1">
          <go:sheetsCustomData xmlns:go="http://customooxmlschemas.google.com/" filterViewId="1386897437"/>
        </ext>
      </extLst>
    </customSheetView>
    <customSheetView guid="{51DF8EE5-A6B9-4822-8F40-23F7233E0655}" filter="1" showAutoFilter="1">
      <pageMargins left="0.7" right="0.7" top="0.75" bottom="0.75" header="0.3" footer="0.3"/>
      <autoFilter ref="A5:BO248" xr:uid="{00000000-0000-0000-0000-000000000000}">
        <filterColumn colId="7">
          <filters>
            <filter val="Fife"/>
          </filters>
        </filterColumn>
      </autoFilter>
      <extLst>
        <ext uri="GoogleSheetsCustomDataVersion1">
          <go:sheetsCustomData xmlns:go="http://customooxmlschemas.google.com/" filterViewId="1137090084"/>
        </ext>
      </extLst>
    </customSheetView>
    <customSheetView guid="{FC6AA2FA-5A9D-4206-A358-16D697F8C6C3}" filter="1" showAutoFilter="1">
      <pageMargins left="0.7" right="0.7" top="0.75" bottom="0.75" header="0.3" footer="0.3"/>
      <autoFilter ref="A5:BK255" xr:uid="{00000000-0000-0000-0000-000000000000}">
        <filterColumn colId="40">
          <customFilters>
            <customFilter operator="notEqual" val=" "/>
          </customFilters>
        </filterColumn>
      </autoFilter>
      <extLst>
        <ext uri="GoogleSheetsCustomDataVersion1">
          <go:sheetsCustomData xmlns:go="http://customooxmlschemas.google.com/" filterViewId="2114316089"/>
        </ext>
      </extLst>
    </customSheetView>
    <customSheetView guid="{091E068A-ABFC-4394-9197-CD21B190F213}" filter="1" showAutoFilter="1">
      <pageMargins left="0.7" right="0.7" top="0.75" bottom="0.75" header="0.3" footer="0.3"/>
      <autoFilter ref="A5:BK262" xr:uid="{00000000-0000-0000-0000-000000000000}"/>
      <extLst>
        <ext uri="GoogleSheetsCustomDataVersion1">
          <go:sheetsCustomData xmlns:go="http://customooxmlschemas.google.com/" filterViewId="1674998253"/>
        </ext>
      </extLst>
    </customSheetView>
    <customSheetView guid="{85E8FE72-B771-4599-89C6-AA78FF214C69}" filter="1" showAutoFilter="1">
      <pageMargins left="0.7" right="0.7" top="0.75" bottom="0.75" header="0.3" footer="0.3"/>
      <autoFilter ref="A5:BO254" xr:uid="{00000000-0000-0000-0000-000000000000}">
        <filterColumn colId="5">
          <filters>
            <filter val="16-22 High Street"/>
            <filter val="251-261 High Street (Former Co-op)"/>
            <filter val="Aberdour Road"/>
            <filter val="Aberdour Road (Former Pitcorthie PS) (EC Housing)"/>
            <filter val="Bell Street"/>
            <filter val="Bellyeoman Road"/>
            <filter val="Black Road"/>
            <filter val="Blacklaw Road Phase 2 (EC Housing)"/>
            <filter val="Bonfield Park"/>
            <filter val="Borelands Road"/>
            <filter val="Brankholm Brae Phase 1"/>
            <filter val="Brankholm Brae Phase 2"/>
            <filter val="Carslogie Road, Former Police Station,"/>
            <filter val="Carswell Wynd"/>
            <filter val="Cash Feus Phase 1"/>
            <filter val="Cash Feus Phase 2"/>
            <filter val="Change to be approved by HME -see seperate worksheet"/>
            <filter val="Commercial Crescent"/>
            <filter val="Commercial Crescent Ph 2"/>
            <filter val="Commercial Crescent Ph 3"/>
            <filter val="Crawley Court, Springfield"/>
            <filter val="Cuddyhouse Road"/>
            <filter val="Dalgairn (New Care Village)"/>
            <filter val="Detroit Road"/>
            <filter val="Dover Heights"/>
            <filter val="FC and KHA Changes to be updated in the Master Programme from 29/9/20"/>
            <filter val="Former Denbeath Church"/>
            <filter val="Former Greenmount Hotel"/>
            <filter val="Ged Mill Close"/>
            <filter val="Glen Albyn Drive, Phase 1 &amp; 2"/>
            <filter val="Haig Busness Park"/>
            <filter val="Halbeath SDA"/>
            <filter val="Hallfields Gardens"/>
            <filter val="Hendersons Meadow"/>
            <filter val="Hilton Gardens"/>
            <filter val="Hugh Place"/>
            <filter val="Ingrie Farm"/>
            <filter val="Kilrymont Road"/>
            <filter val="Kingdom Park Phase 3"/>
            <filter val="Kinglassie Road"/>
            <filter val="Kirkcaldy SW SDA Phase 1"/>
            <filter val="Kirkland (New Care Village)"/>
            <filter val="Kirkland Farm Phase 3"/>
            <filter val="Ladywalk (Former Care Home)"/>
            <filter val="Land to South of Victoria Park"/>
            <filter val="Langside Road"/>
            <filter val="Lochgelly Road LPH001"/>
            <filter val="Main street"/>
            <filter val="Markinch South (MAR001)"/>
            <filter val="Mayview Court  (New Care Village)"/>
            <filter val="Memorial Park"/>
            <filter val="Methil Brae Phase 3"/>
            <filter val="Milesmark (DUN033)"/>
            <filter val="Millburn Avenue"/>
            <filter val="Muir Road MS"/>
            <filter val="Napier Road, (Former Police Station)"/>
            <filter val="Natal Place"/>
            <filter val="North Eden (Former Care Home)"/>
            <filter val="North Fod Phase 2 (EC Housing)"/>
            <filter val="off Station Court"/>
            <filter val="Open Market Transactions 19/20 Phase 1"/>
            <filter val="Open Market Transactions 19/20 Phase 2"/>
            <filter val="Open Market Transactions 20/21 Phase 1"/>
            <filter val="Open Market Transactions 20/21 Phase 2"/>
            <filter val="Open Market Transactions 21/22 Phase 1"/>
            <filter val="Open Market Transactions 21/22 Phase 2"/>
            <filter val="Open Market Transactions 22/23"/>
            <filter val="Open Market Transactions 23/24"/>
            <filter val="Open Market Transactions 24/25"/>
            <filter val="Ordnance Road"/>
            <filter val="Park Road"/>
            <filter val="Pilmuir Street (Block 1)"/>
            <filter val="Pilmuir Street (Block 2)"/>
            <filter val="Pitlethie Road"/>
            <filter val="Pitlethie Road Phase 2"/>
            <filter val="Postings"/>
            <filter val="Prestonhill Quarry"/>
            <filter val="Primrose Lane North"/>
            <filter val="Queensgate, Former Tullis Russell Mill"/>
            <filter val="Queensgate, Former Tullis Russell Mill Phase 2"/>
            <filter val="Rosemount Grove"/>
            <filter val="Rosewell Drive"/>
            <filter val="Rumblingwell (Former Milesmark Depot)"/>
            <filter val="Sappi Road, Markinch (1 Unit OTS)"/>
            <filter val="Sappi Road, Markinch (OTS)"/>
            <filter val="Site to be deleted  from SHIP WD / SHIP Table / MP Programme"/>
            <filter val="Sites with £0 spend in 21/22 to 25/26 - delete from NEW SHIP table"/>
            <filter val="South Avenue (South)"/>
            <filter val="South Castle Drive"/>
            <filter val="Spencerfield Phase 1"/>
            <filter val="Spencerfield Phase 2"/>
            <filter val="St Andrews SLA, Craigtoun Phase 1a"/>
            <filter val="St Andrews SLA, Craigtoun Phase 1b"/>
            <filter val="St Johns Works"/>
            <filter val="Strathore Road (Thornton SLA)"/>
            <filter val="Toll Road Phase 2A"/>
            <filter val="Toll Road Phase 2B"/>
            <filter val="Toll Road Phase 3"/>
            <filter val="Upper Forth View  Phase 2"/>
            <filter val="Upper Forth View, Phase 1"/>
            <filter val="Upper Forth View, Phase 3"/>
            <filter val="Viewforth High School"/>
            <filter val="Westwood Phase 2"/>
            <filter val="Whinnyburn Phase 1"/>
            <filter val="Whinnyburn Phase 2"/>
            <filter val="Woodmill Street MS"/>
          </filters>
        </filterColumn>
      </autoFilter>
      <extLst>
        <ext uri="GoogleSheetsCustomDataVersion1">
          <go:sheetsCustomData xmlns:go="http://customooxmlschemas.google.com/" filterViewId="122138558"/>
        </ext>
      </extLst>
    </customSheetView>
    <customSheetView guid="{42A3C551-A710-48BC-9025-6CC1E6F21B32}" filter="1" showAutoFilter="1">
      <pageMargins left="0.7" right="0.7" top="0.75" bottom="0.75" header="0.3" footer="0.3"/>
      <autoFilter ref="A5:BW161" xr:uid="{00000000-0000-0000-0000-000000000000}"/>
      <extLst>
        <ext uri="GoogleSheetsCustomDataVersion1">
          <go:sheetsCustomData xmlns:go="http://customooxmlschemas.google.com/" filterViewId="927193646"/>
        </ext>
      </extLst>
    </customSheetView>
    <customSheetView guid="{9CD47D08-7711-4911-B275-D0B61A345F69}" filter="1" showAutoFilter="1">
      <pageMargins left="0.7" right="0.7" top="0.75" bottom="0.75" header="0.3" footer="0.3"/>
      <autoFilter ref="A5:BW179" xr:uid="{00000000-0000-0000-0000-000000000000}">
        <filterColumn colId="8">
          <filters>
            <filter val="KHA"/>
            <filter val="KI"/>
          </filters>
        </filterColumn>
      </autoFilter>
      <extLst>
        <ext uri="GoogleSheetsCustomDataVersion1">
          <go:sheetsCustomData xmlns:go="http://customooxmlschemas.google.com/" filterViewId="767075369"/>
        </ext>
      </extLst>
    </customSheetView>
    <customSheetView guid="{80092E88-1165-4815-9A36-B67600E1577B}" filter="1" showAutoFilter="1">
      <pageMargins left="0.7" right="0.7" top="0.75" bottom="0.75" header="0.3" footer="0.3"/>
      <autoFilter ref="B5:BW192" xr:uid="{00000000-0000-0000-0000-000000000000}">
        <filterColumn colId="2">
          <colorFilter dxfId="3"/>
        </filterColumn>
        <filterColumn colId="7">
          <filters>
            <filter val="KHA"/>
            <filter val="KI"/>
          </filters>
        </filterColumn>
        <filterColumn colId="9">
          <filters blank="1">
            <filter val="2017/18"/>
            <filter val="2018/19"/>
            <filter val="2019/20"/>
            <filter val="2020/21"/>
            <filter val="2021/22"/>
            <filter val="2022/23"/>
            <filter val="2023/24"/>
            <filter val="2024/25"/>
            <filter val="2025/26"/>
          </filters>
        </filterColumn>
        <filterColumn colId="40">
          <filters>
            <filter val="0%"/>
            <filter val="10%"/>
            <filter val="100%"/>
            <filter val="18%"/>
            <filter val="19%"/>
            <filter val="20%"/>
            <filter val="22%"/>
            <filter val="23%"/>
            <filter val="24%"/>
            <filter val="25%"/>
            <filter val="26%"/>
            <filter val="27%"/>
            <filter val="28%"/>
            <filter val="29%"/>
            <filter val="30%"/>
            <filter val="31%"/>
            <filter val="32%"/>
            <filter val="33%"/>
            <filter val="34%"/>
            <filter val="35%"/>
            <filter val="36%"/>
            <filter val="37%"/>
            <filter val="38%"/>
            <filter val="39%"/>
            <filter val="40%"/>
            <filter val="41%"/>
            <filter val="42%"/>
            <filter val="43%"/>
            <filter val="44%"/>
            <filter val="47%"/>
            <filter val="5%"/>
            <filter val="50%"/>
            <filter val="57%"/>
            <filter val="67%"/>
            <filter val="74%"/>
            <filter val="8%"/>
          </filters>
        </filterColumn>
        <filterColumn colId="73">
          <filters blank="1">
            <filter val="Add - to be approved"/>
            <filter val="Other Change - lead delivery partner"/>
          </filters>
        </filterColumn>
      </autoFilter>
      <extLst>
        <ext uri="GoogleSheetsCustomDataVersion1">
          <go:sheetsCustomData xmlns:go="http://customooxmlschemas.google.com/" filterViewId="528825231"/>
        </ext>
      </extLst>
    </customSheetView>
    <customSheetView guid="{B67CFE32-9207-401B-B38B-AD1E07272F00}" filter="1" showAutoFilter="1">
      <pageMargins left="0.7" right="0.7" top="0.75" bottom="0.75" header="0.3" footer="0.3"/>
      <autoFilter ref="A5:BW191" xr:uid="{00000000-0000-0000-0000-000000000000}">
        <filterColumn colId="6">
          <filters>
            <filter val="Buckhaven"/>
            <filter val="Carnock"/>
            <filter val="Coaltown of Balgonie"/>
            <filter val="Kennoway"/>
            <filter val="Leven"/>
            <filter val="Lochore"/>
            <filter val="Lumphinnans"/>
            <filter val="Newburgh"/>
          </filters>
        </filterColumn>
      </autoFilter>
      <extLst>
        <ext uri="GoogleSheetsCustomDataVersion1">
          <go:sheetsCustomData xmlns:go="http://customooxmlschemas.google.com/" filterViewId="1682957910"/>
        </ext>
      </extLst>
    </customSheetView>
  </customSheetViews>
  <mergeCells count="1">
    <mergeCell ref="F1:AK1"/>
  </mergeCells>
  <conditionalFormatting sqref="BF5:BL5">
    <cfRule type="cellIs" dxfId="2" priority="1" stopIfTrue="1" operator="equal">
      <formula>1</formula>
    </cfRule>
  </conditionalFormatting>
  <conditionalFormatting sqref="BF5:BL5">
    <cfRule type="cellIs" dxfId="1" priority="2" stopIfTrue="1" operator="equal">
      <formula>2</formula>
    </cfRule>
  </conditionalFormatting>
  <conditionalFormatting sqref="BF5:BL5">
    <cfRule type="cellIs" dxfId="0" priority="3" stopIfTrue="1" operator="equal">
      <formula>3</formula>
    </cfRule>
  </conditionalFormatting>
  <dataValidations count="1">
    <dataValidation type="list" allowBlank="1" showErrorMessage="1" sqref="D155:E156 G155:I156 AK155:AO156" xr:uid="{00000000-0002-0000-0000-000009000000}">
      <formula1>#REF!</formula1>
    </dataValidation>
  </dataValidations>
  <pageMargins left="0.25" right="0.25" top="0.75" bottom="0.75" header="0" footer="0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xr:uid="{00000000-0002-0000-0000-000001000000}">
          <x14:formula1>
            <xm:f>Codes!$A$107:$A$112</xm:f>
          </x14:formula1>
          <xm:sqref>D158:E161</xm:sqref>
        </x14:dataValidation>
        <x14:dataValidation type="list" allowBlank="1" xr:uid="{00000000-0002-0000-0000-000002000000}">
          <x14:formula1>
            <xm:f>Codes!$A$24:$A$31</xm:f>
          </x14:formula1>
          <xm:sqref>F6:G6 F56:G59 F113:G114 F138:G144 F146:G154 F129:G136 F116:G127 F42:G52 F61:G111 F9:G40</xm:sqref>
        </x14:dataValidation>
        <x14:dataValidation type="list" allowBlank="1" xr:uid="{00000000-0002-0000-0000-000003000000}">
          <x14:formula1>
            <xm:f>Codes!$A$39:$A$49</xm:f>
          </x14:formula1>
          <xm:sqref>D61:D62 D113:D114 D146:D154 D117:D144 D110 D69:D108 D6 D9:D59</xm:sqref>
        </x14:dataValidation>
        <x14:dataValidation type="list" allowBlank="1" xr:uid="{00000000-0002-0000-0000-000005000000}">
          <x14:formula1>
            <xm:f>Codes!$A$56:$A$64</xm:f>
          </x14:formula1>
          <xm:sqref>H6 AL109 H112:H154 H8:H110</xm:sqref>
        </x14:dataValidation>
        <x14:dataValidation type="list" allowBlank="1" xr:uid="{00000000-0002-0000-0000-000006000000}">
          <x14:formula1>
            <xm:f>Codes!$A$72:$A$77</xm:f>
          </x14:formula1>
          <xm:sqref>AK6 AK30:AK40 AK56:AK59 AK113:AK114 AK129:AK131 AK138:AK144 AK146:AK154 AK133:AK136 AK116:AK127 AK110:AK111 AK99:AK108 AK61:AK97 AK42:AK52 AK9:AK28</xm:sqref>
        </x14:dataValidation>
        <x14:dataValidation type="list" allowBlank="1" xr:uid="{00000000-0002-0000-0000-000008000000}">
          <x14:formula1>
            <xm:f>Codes!$A$56:$A$65</xm:f>
          </x14:formula1>
          <xm:sqref>H7 AL110:AL154 AL61:AL108 AL6:AL59</xm:sqref>
        </x14:dataValidation>
        <x14:dataValidation type="list" allowBlank="1" xr:uid="{A6F72430-140C-43D9-BDD1-00F6958795DA}">
          <x14:formula1>
            <xm:f>Codes!$A$139:$A$142</xm:f>
          </x14:formula1>
          <xm:sqref>E5</xm:sqref>
        </x14:dataValidation>
        <x14:dataValidation type="list" allowBlank="1" xr:uid="{00000000-0002-0000-0000-000000000000}">
          <x14:formula1>
            <xm:f>Codes!$A$56:$A$69</xm:f>
          </x14:formula1>
          <xm:sqref>AN6:AN154</xm:sqref>
        </x14:dataValidation>
        <x14:dataValidation type="list" allowBlank="1" xr:uid="{25745924-2915-422C-9DDD-414A23A4CFBE}">
          <x14:formula1>
            <xm:f>Codes!$A$138:$A$142</xm:f>
          </x14:formula1>
          <xm:sqref>E6:E154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L19" sqref="L19"/>
    </sheetView>
  </sheetViews>
  <sheetFormatPr defaultColWidth="14.42578125" defaultRowHeight="15" customHeight="1"/>
  <cols>
    <col min="1" max="1" width="21" customWidth="1"/>
    <col min="2" max="2" width="3.85546875" customWidth="1"/>
    <col min="3" max="5" width="8.7109375" customWidth="1"/>
    <col min="6" max="7" width="13.7109375" customWidth="1"/>
    <col min="8" max="8" width="12.85546875" customWidth="1"/>
    <col min="9" max="9" width="8.7109375" customWidth="1"/>
    <col min="10" max="10" width="14.5703125" customWidth="1"/>
    <col min="11" max="16" width="8.7109375" customWidth="1"/>
    <col min="17" max="17" width="12.28515625" customWidth="1"/>
    <col min="18" max="26" width="8.710937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30" t="s">
        <v>4</v>
      </c>
      <c r="B4" s="131"/>
      <c r="C4" s="132" t="s">
        <v>443</v>
      </c>
      <c r="D4" s="133" t="s">
        <v>444</v>
      </c>
      <c r="E4" s="134" t="s">
        <v>445</v>
      </c>
      <c r="F4" s="135" t="s">
        <v>446</v>
      </c>
      <c r="G4" s="135" t="s">
        <v>447</v>
      </c>
      <c r="H4" s="136" t="s">
        <v>448</v>
      </c>
      <c r="I4" s="137" t="s">
        <v>449</v>
      </c>
      <c r="J4" s="138" t="s">
        <v>450</v>
      </c>
      <c r="K4" s="137" t="s">
        <v>451</v>
      </c>
      <c r="L4" s="139" t="s">
        <v>116</v>
      </c>
      <c r="M4" s="140" t="s">
        <v>452</v>
      </c>
      <c r="N4" s="141" t="s">
        <v>449</v>
      </c>
      <c r="O4" s="140" t="s">
        <v>453</v>
      </c>
      <c r="P4" s="141" t="s">
        <v>451</v>
      </c>
      <c r="Q4" s="139" t="s">
        <v>166</v>
      </c>
      <c r="R4" s="140" t="s">
        <v>454</v>
      </c>
      <c r="S4" s="141" t="s">
        <v>449</v>
      </c>
      <c r="T4" s="140" t="s">
        <v>455</v>
      </c>
      <c r="U4" s="141" t="s">
        <v>451</v>
      </c>
      <c r="V4" s="7"/>
      <c r="W4" s="7"/>
      <c r="X4" s="7"/>
      <c r="Y4" s="7"/>
      <c r="Z4" s="7"/>
    </row>
    <row r="5" spans="1:26" ht="12.75" customHeight="1">
      <c r="A5" s="31" t="s">
        <v>102</v>
      </c>
      <c r="B5" s="142"/>
      <c r="C5" s="143">
        <v>54</v>
      </c>
      <c r="D5" s="31">
        <f t="shared" ref="D5:D15" si="0">C5*5</f>
        <v>270</v>
      </c>
      <c r="E5" s="31">
        <f t="shared" ref="E5:E15" si="1">C5*10</f>
        <v>540</v>
      </c>
      <c r="F5" s="53">
        <f>SUMIF(SHIP!$D$6:$D$120, "Cowdenbeath", SHIP!$J$6:$J$120)</f>
        <v>240</v>
      </c>
      <c r="G5" s="48" t="e">
        <f>SUMIFS(SHIP!$J$5:$J$120, SHIP!#REF!, "Completed", SHIP!$D$5:$D$120, "Cowdenbeath")</f>
        <v>#REF!</v>
      </c>
      <c r="H5" s="144">
        <f t="shared" ref="H5:H15" si="2">F5-D5</f>
        <v>-30</v>
      </c>
      <c r="I5" s="145">
        <f t="shared" ref="I5:I15" si="3">F5/D5</f>
        <v>0.88888888888888884</v>
      </c>
      <c r="J5" s="146">
        <f t="shared" ref="J5:J15" si="4">F5-E5</f>
        <v>-300</v>
      </c>
      <c r="K5" s="145">
        <f t="shared" ref="K5:K15" si="5">F5/E5</f>
        <v>0.44444444444444442</v>
      </c>
      <c r="L5" s="147" t="e">
        <f>SUMIFS(SHIP!$J$5:$J$120, SHIP!#REF!, "Potential", SHIP!$D$5:$D$120, "Cowdenbeath")</f>
        <v>#REF!</v>
      </c>
      <c r="M5" s="148" t="e">
        <f t="shared" ref="M5:M15" si="6">L5-D5</f>
        <v>#REF!</v>
      </c>
      <c r="N5" s="149" t="e">
        <f t="shared" ref="N5:N15" si="7">L5/D5</f>
        <v>#REF!</v>
      </c>
      <c r="O5" s="148" t="e">
        <f t="shared" ref="O5:O15" si="8">L5-E5</f>
        <v>#REF!</v>
      </c>
      <c r="P5" s="150" t="e">
        <f t="shared" ref="P5:P15" si="9">L5/E5</f>
        <v>#REF!</v>
      </c>
      <c r="Q5" s="147" t="e">
        <f>SUMIFS(SHIP!$J$5:$J$120, SHIP!#REF!, "Programmed", SHIP!$D$5:$D$120, "Cowdenbeath")</f>
        <v>#REF!</v>
      </c>
      <c r="R5" s="148" t="e">
        <f t="shared" ref="R5:R15" si="10">Q5-D5</f>
        <v>#REF!</v>
      </c>
      <c r="S5" s="149" t="e">
        <f t="shared" ref="S5:S15" si="11">Q5/D5</f>
        <v>#REF!</v>
      </c>
      <c r="T5" s="148" t="e">
        <f t="shared" ref="T5:T15" si="12">Q5-E5</f>
        <v>#REF!</v>
      </c>
      <c r="U5" s="150" t="e">
        <f t="shared" ref="U5:U15" si="13">Q5/E5</f>
        <v>#REF!</v>
      </c>
      <c r="V5" s="7"/>
      <c r="W5" s="7"/>
      <c r="X5" s="7"/>
      <c r="Y5" s="7"/>
      <c r="Z5" s="7"/>
    </row>
    <row r="6" spans="1:26" ht="12.75" customHeight="1">
      <c r="A6" s="31" t="s">
        <v>95</v>
      </c>
      <c r="B6" s="142"/>
      <c r="C6" s="143">
        <v>39</v>
      </c>
      <c r="D6" s="31">
        <f t="shared" si="0"/>
        <v>195</v>
      </c>
      <c r="E6" s="31">
        <f t="shared" si="1"/>
        <v>390</v>
      </c>
      <c r="F6" s="53">
        <f>SUMIF(SHIP!$D$6:$D$120, "Cupar &amp; HOF", SHIP!$J$6:$J$120)</f>
        <v>181</v>
      </c>
      <c r="G6" s="48" t="e">
        <f>SUMIFS(SHIP!$J$5:$J$120, SHIP!#REF!, "Completed", SHIP!$D$5:$D$120, "Cupar &amp; HOF")</f>
        <v>#REF!</v>
      </c>
      <c r="H6" s="144">
        <f t="shared" si="2"/>
        <v>-14</v>
      </c>
      <c r="I6" s="145">
        <f t="shared" si="3"/>
        <v>0.92820512820512824</v>
      </c>
      <c r="J6" s="146">
        <f t="shared" si="4"/>
        <v>-209</v>
      </c>
      <c r="K6" s="145">
        <f t="shared" si="5"/>
        <v>0.46410256410256412</v>
      </c>
      <c r="L6" s="147" t="e">
        <f>SUMIFS(SHIP!$J$5:$J$120, SHIP!#REF!, "Potential", SHIP!$D$5:$D$120, "Cupar &amp; HOF")</f>
        <v>#REF!</v>
      </c>
      <c r="M6" s="148" t="e">
        <f t="shared" si="6"/>
        <v>#REF!</v>
      </c>
      <c r="N6" s="149" t="e">
        <f t="shared" si="7"/>
        <v>#REF!</v>
      </c>
      <c r="O6" s="148" t="e">
        <f t="shared" si="8"/>
        <v>#REF!</v>
      </c>
      <c r="P6" s="150" t="e">
        <f t="shared" si="9"/>
        <v>#REF!</v>
      </c>
      <c r="Q6" s="147" t="e">
        <f>SUMIFS(SHIP!$J$5:$J$120, SHIP!#REF!, "Programmed", SHIP!$D$5:$D$120, "Cupar &amp; HOF")</f>
        <v>#REF!</v>
      </c>
      <c r="R6" s="148" t="e">
        <f t="shared" si="10"/>
        <v>#REF!</v>
      </c>
      <c r="S6" s="149" t="e">
        <f t="shared" si="11"/>
        <v>#REF!</v>
      </c>
      <c r="T6" s="148" t="e">
        <f t="shared" si="12"/>
        <v>#REF!</v>
      </c>
      <c r="U6" s="150" t="e">
        <f t="shared" si="13"/>
        <v>#REF!</v>
      </c>
      <c r="V6" s="7"/>
      <c r="W6" s="7"/>
      <c r="X6" s="7"/>
      <c r="Y6" s="7"/>
      <c r="Z6" s="7"/>
    </row>
    <row r="7" spans="1:26" ht="12.75" customHeight="1">
      <c r="A7" s="31" t="s">
        <v>456</v>
      </c>
      <c r="B7" s="142"/>
      <c r="C7" s="143">
        <v>139</v>
      </c>
      <c r="D7" s="31">
        <f t="shared" si="0"/>
        <v>695</v>
      </c>
      <c r="E7" s="31">
        <f t="shared" si="1"/>
        <v>1390</v>
      </c>
      <c r="F7" s="53">
        <f>SUMIF(SHIP!$D$6:$D$120, "Dunfermline &amp; Coast", SHIP!$J$6:$J$120)</f>
        <v>705</v>
      </c>
      <c r="G7" s="48" t="e">
        <f>SUMIFS(SHIP!$J$5:$J$120, SHIP!#REF!, "Completed", SHIP!$D$5:$D$120, "Dunfermline &amp; Coast")</f>
        <v>#REF!</v>
      </c>
      <c r="H7" s="144">
        <f t="shared" si="2"/>
        <v>10</v>
      </c>
      <c r="I7" s="145">
        <f t="shared" si="3"/>
        <v>1.014388489208633</v>
      </c>
      <c r="J7" s="146">
        <f t="shared" si="4"/>
        <v>-685</v>
      </c>
      <c r="K7" s="145">
        <f t="shared" si="5"/>
        <v>0.5071942446043165</v>
      </c>
      <c r="L7" s="147" t="e">
        <f>SUMIFS(SHIP!$J$5:$J$120, SHIP!#REF!, "Potential", SHIP!$D$5:$D$120, "Dunfermline &amp; Coast")</f>
        <v>#REF!</v>
      </c>
      <c r="M7" s="148" t="e">
        <f t="shared" si="6"/>
        <v>#REF!</v>
      </c>
      <c r="N7" s="149" t="e">
        <f t="shared" si="7"/>
        <v>#REF!</v>
      </c>
      <c r="O7" s="148" t="e">
        <f t="shared" si="8"/>
        <v>#REF!</v>
      </c>
      <c r="P7" s="150" t="e">
        <f t="shared" si="9"/>
        <v>#REF!</v>
      </c>
      <c r="Q7" s="147" t="e">
        <f>SUMIFS(SHIP!$J$5:$J$120, SHIP!#REF!, "Programmed", SHIP!$D$5:$D$120, "Dunfermline &amp; Coast")</f>
        <v>#REF!</v>
      </c>
      <c r="R7" s="148" t="e">
        <f t="shared" si="10"/>
        <v>#REF!</v>
      </c>
      <c r="S7" s="149" t="e">
        <f t="shared" si="11"/>
        <v>#REF!</v>
      </c>
      <c r="T7" s="148" t="e">
        <f t="shared" si="12"/>
        <v>#REF!</v>
      </c>
      <c r="U7" s="150" t="e">
        <f t="shared" si="13"/>
        <v>#REF!</v>
      </c>
      <c r="V7" s="7"/>
      <c r="W7" s="7"/>
      <c r="X7" s="7"/>
      <c r="Y7" s="7"/>
      <c r="Z7" s="7"/>
    </row>
    <row r="8" spans="1:26" ht="12.75" customHeight="1">
      <c r="A8" s="31" t="s">
        <v>157</v>
      </c>
      <c r="B8" s="142"/>
      <c r="C8" s="143">
        <v>78</v>
      </c>
      <c r="D8" s="31">
        <f t="shared" si="0"/>
        <v>390</v>
      </c>
      <c r="E8" s="31">
        <f t="shared" si="1"/>
        <v>780</v>
      </c>
      <c r="F8" s="53">
        <f>SUMIF(SHIP!$D$6:$D$120, "Glenrothes", SHIP!$J$6:$J$120)</f>
        <v>475</v>
      </c>
      <c r="G8" s="48" t="e">
        <f>SUMIFS(SHIP!$J$5:$J$120, SHIP!#REF!, "Completed", SHIP!$D$5:$D$120, "Glenrothes")</f>
        <v>#REF!</v>
      </c>
      <c r="H8" s="144">
        <f t="shared" si="2"/>
        <v>85</v>
      </c>
      <c r="I8" s="145">
        <f t="shared" si="3"/>
        <v>1.2179487179487178</v>
      </c>
      <c r="J8" s="146">
        <f t="shared" si="4"/>
        <v>-305</v>
      </c>
      <c r="K8" s="145">
        <f t="shared" si="5"/>
        <v>0.60897435897435892</v>
      </c>
      <c r="L8" s="147" t="e">
        <f>SUMIFS(SHIP!$J$5:$J$120, SHIP!#REF!, "Potential", SHIP!$D$5:$D$120, "Glenrothes")</f>
        <v>#REF!</v>
      </c>
      <c r="M8" s="148" t="e">
        <f t="shared" si="6"/>
        <v>#REF!</v>
      </c>
      <c r="N8" s="149" t="e">
        <f t="shared" si="7"/>
        <v>#REF!</v>
      </c>
      <c r="O8" s="148" t="e">
        <f t="shared" si="8"/>
        <v>#REF!</v>
      </c>
      <c r="P8" s="150" t="e">
        <f t="shared" si="9"/>
        <v>#REF!</v>
      </c>
      <c r="Q8" s="147" t="e">
        <f>SUMIFS(SHIP!$J$5:$J$120, SHIP!#REF!, "Programmed", SHIP!$D$5:$D$120, "Glenrothes")</f>
        <v>#REF!</v>
      </c>
      <c r="R8" s="148" t="e">
        <f t="shared" si="10"/>
        <v>#REF!</v>
      </c>
      <c r="S8" s="149" t="e">
        <f t="shared" si="11"/>
        <v>#REF!</v>
      </c>
      <c r="T8" s="148" t="e">
        <f t="shared" si="12"/>
        <v>#REF!</v>
      </c>
      <c r="U8" s="150" t="e">
        <f t="shared" si="13"/>
        <v>#REF!</v>
      </c>
      <c r="V8" s="7"/>
      <c r="W8" s="7"/>
      <c r="X8" s="7"/>
      <c r="Y8" s="7"/>
      <c r="Z8" s="7"/>
    </row>
    <row r="9" spans="1:26" ht="12.75" customHeight="1">
      <c r="A9" s="31" t="s">
        <v>130</v>
      </c>
      <c r="B9" s="142"/>
      <c r="C9" s="143">
        <v>114</v>
      </c>
      <c r="D9" s="31">
        <f t="shared" si="0"/>
        <v>570</v>
      </c>
      <c r="E9" s="31">
        <f t="shared" si="1"/>
        <v>1140</v>
      </c>
      <c r="F9" s="53">
        <f>SUMIF(SHIP!$D$6:$D$120, "Kirkcaldy", SHIP!$J$6:$J$120)</f>
        <v>536</v>
      </c>
      <c r="G9" s="48" t="e">
        <f>SUMIFS(SHIP!$J$5:$J$120, SHIP!#REF!, "Completed", SHIP!$D$5:$D$120, "Kirkcaldy")</f>
        <v>#REF!</v>
      </c>
      <c r="H9" s="144">
        <f t="shared" si="2"/>
        <v>-34</v>
      </c>
      <c r="I9" s="145">
        <f t="shared" si="3"/>
        <v>0.94035087719298249</v>
      </c>
      <c r="J9" s="146">
        <f t="shared" si="4"/>
        <v>-604</v>
      </c>
      <c r="K9" s="145">
        <f t="shared" si="5"/>
        <v>0.47017543859649125</v>
      </c>
      <c r="L9" s="147" t="e">
        <f>SUMIFS(SHIP!$J$5:$J$120, SHIP!#REF!, "Potential", SHIP!$D$5:$D$120, "Kirkcaldy")</f>
        <v>#REF!</v>
      </c>
      <c r="M9" s="148" t="e">
        <f t="shared" si="6"/>
        <v>#REF!</v>
      </c>
      <c r="N9" s="149" t="e">
        <f t="shared" si="7"/>
        <v>#REF!</v>
      </c>
      <c r="O9" s="148" t="e">
        <f t="shared" si="8"/>
        <v>#REF!</v>
      </c>
      <c r="P9" s="150" t="e">
        <f t="shared" si="9"/>
        <v>#REF!</v>
      </c>
      <c r="Q9" s="147" t="e">
        <f>SUMIFS(SHIP!$J$5:$J$120, SHIP!#REF!, "Programmed", SHIP!$D$5:$D$120, "Kirkcaldy")</f>
        <v>#REF!</v>
      </c>
      <c r="R9" s="148" t="e">
        <f t="shared" si="10"/>
        <v>#REF!</v>
      </c>
      <c r="S9" s="149" t="e">
        <f t="shared" si="11"/>
        <v>#REF!</v>
      </c>
      <c r="T9" s="148" t="e">
        <f t="shared" si="12"/>
        <v>#REF!</v>
      </c>
      <c r="U9" s="150" t="e">
        <f t="shared" si="13"/>
        <v>#REF!</v>
      </c>
      <c r="V9" s="7"/>
      <c r="W9" s="7"/>
      <c r="X9" s="7"/>
      <c r="Y9" s="7"/>
      <c r="Z9" s="7"/>
    </row>
    <row r="10" spans="1:26" ht="12.75" customHeight="1">
      <c r="A10" s="31" t="s">
        <v>80</v>
      </c>
      <c r="B10" s="142"/>
      <c r="C10" s="143">
        <v>26</v>
      </c>
      <c r="D10" s="31">
        <f t="shared" si="0"/>
        <v>130</v>
      </c>
      <c r="E10" s="31">
        <f t="shared" si="1"/>
        <v>260</v>
      </c>
      <c r="F10" s="53">
        <f>SUMIF(SHIP!$D$6:$D$120, "Largo &amp; East Neuk", SHIP!$J$6:$J$120)</f>
        <v>66</v>
      </c>
      <c r="G10" s="48" t="e">
        <f>SUMIFS(SHIP!$J$5:$J$120, SHIP!#REF!, "completed", SHIP!$D$5:$D$120, "Largo &amp; East Neuk")</f>
        <v>#REF!</v>
      </c>
      <c r="H10" s="144">
        <f t="shared" si="2"/>
        <v>-64</v>
      </c>
      <c r="I10" s="145">
        <f t="shared" si="3"/>
        <v>0.50769230769230766</v>
      </c>
      <c r="J10" s="146">
        <f t="shared" si="4"/>
        <v>-194</v>
      </c>
      <c r="K10" s="145">
        <f t="shared" si="5"/>
        <v>0.25384615384615383</v>
      </c>
      <c r="L10" s="147" t="e">
        <f>SUMIFS(SHIP!$J$5:$J$120, SHIP!#REF!, "Potential", SHIP!$D$5:$D$120, "Largo &amp; East Neuk")</f>
        <v>#REF!</v>
      </c>
      <c r="M10" s="148" t="e">
        <f t="shared" si="6"/>
        <v>#REF!</v>
      </c>
      <c r="N10" s="149" t="e">
        <f t="shared" si="7"/>
        <v>#REF!</v>
      </c>
      <c r="O10" s="148" t="e">
        <f t="shared" si="8"/>
        <v>#REF!</v>
      </c>
      <c r="P10" s="150" t="e">
        <f t="shared" si="9"/>
        <v>#REF!</v>
      </c>
      <c r="Q10" s="147" t="e">
        <f>SUMIFS(SHIP!$J$5:$J$120, SHIP!#REF!, "Programmed", SHIP!$D$5:$D$120, "Largo &amp; East Neuk")</f>
        <v>#REF!</v>
      </c>
      <c r="R10" s="148" t="e">
        <f t="shared" si="10"/>
        <v>#REF!</v>
      </c>
      <c r="S10" s="149" t="e">
        <f t="shared" si="11"/>
        <v>#REF!</v>
      </c>
      <c r="T10" s="148" t="e">
        <f t="shared" si="12"/>
        <v>#REF!</v>
      </c>
      <c r="U10" s="150" t="e">
        <f t="shared" si="13"/>
        <v>#REF!</v>
      </c>
      <c r="V10" s="7"/>
      <c r="W10" s="7"/>
      <c r="X10" s="7"/>
      <c r="Y10" s="7"/>
      <c r="Z10" s="7"/>
    </row>
    <row r="11" spans="1:26" ht="12.75" customHeight="1">
      <c r="A11" s="31" t="s">
        <v>124</v>
      </c>
      <c r="B11" s="142"/>
      <c r="C11" s="143">
        <v>56</v>
      </c>
      <c r="D11" s="31">
        <f t="shared" si="0"/>
        <v>280</v>
      </c>
      <c r="E11" s="31">
        <f t="shared" si="1"/>
        <v>560</v>
      </c>
      <c r="F11" s="53">
        <f>SUMIF(SHIP!$D$6:$D$120, "Levenmouth", SHIP!$J$6:$J$120)</f>
        <v>108</v>
      </c>
      <c r="G11" s="48" t="e">
        <f>SUMIFS(SHIP!$J$5:$J$120, SHIP!#REF!, "Completed", SHIP!$D$5:$D$120, "Levenmouth")</f>
        <v>#REF!</v>
      </c>
      <c r="H11" s="144">
        <f t="shared" si="2"/>
        <v>-172</v>
      </c>
      <c r="I11" s="145">
        <f t="shared" si="3"/>
        <v>0.38571428571428573</v>
      </c>
      <c r="J11" s="146">
        <f t="shared" si="4"/>
        <v>-452</v>
      </c>
      <c r="K11" s="145">
        <f t="shared" si="5"/>
        <v>0.19285714285714287</v>
      </c>
      <c r="L11" s="147" t="e">
        <f>SUMIFS(SHIP!$J$5:$J$120, SHIP!#REF!, "Potential", SHIP!$D$5:$D$120, "Levenmouth")</f>
        <v>#REF!</v>
      </c>
      <c r="M11" s="148" t="e">
        <f t="shared" si="6"/>
        <v>#REF!</v>
      </c>
      <c r="N11" s="149" t="e">
        <f t="shared" si="7"/>
        <v>#REF!</v>
      </c>
      <c r="O11" s="148" t="e">
        <f t="shared" si="8"/>
        <v>#REF!</v>
      </c>
      <c r="P11" s="150" t="e">
        <f t="shared" si="9"/>
        <v>#REF!</v>
      </c>
      <c r="Q11" s="147" t="e">
        <f>SUMIFS(SHIP!$J$5:$J$120, SHIP!#REF!, "Programmed", SHIP!$D$5:$D$120, "Levenmouth")</f>
        <v>#REF!</v>
      </c>
      <c r="R11" s="148" t="e">
        <f t="shared" si="10"/>
        <v>#REF!</v>
      </c>
      <c r="S11" s="149" t="e">
        <f t="shared" si="11"/>
        <v>#REF!</v>
      </c>
      <c r="T11" s="148" t="e">
        <f t="shared" si="12"/>
        <v>#REF!</v>
      </c>
      <c r="U11" s="150" t="e">
        <f t="shared" si="13"/>
        <v>#REF!</v>
      </c>
      <c r="V11" s="7"/>
      <c r="W11" s="7"/>
      <c r="X11" s="7"/>
      <c r="Y11" s="7"/>
      <c r="Z11" s="7"/>
    </row>
    <row r="12" spans="1:26" ht="12.75" customHeight="1">
      <c r="A12" s="31" t="s">
        <v>108</v>
      </c>
      <c r="B12" s="142"/>
      <c r="C12" s="143">
        <v>40</v>
      </c>
      <c r="D12" s="31">
        <f t="shared" si="0"/>
        <v>200</v>
      </c>
      <c r="E12" s="31">
        <f t="shared" si="1"/>
        <v>400</v>
      </c>
      <c r="F12" s="53">
        <f>SUMIF(SHIP!$D$6:$D$120, "St Andrews", SHIP!$J$6:$J$120)</f>
        <v>288</v>
      </c>
      <c r="G12" s="48" t="e">
        <f>SUMIFS(SHIP!$J$5:$J$120, SHIP!#REF!, "Completed", SHIP!$D$5:$D$120, "St Andrews")</f>
        <v>#REF!</v>
      </c>
      <c r="H12" s="144">
        <f t="shared" si="2"/>
        <v>88</v>
      </c>
      <c r="I12" s="145">
        <f t="shared" si="3"/>
        <v>1.44</v>
      </c>
      <c r="J12" s="146">
        <f t="shared" si="4"/>
        <v>-112</v>
      </c>
      <c r="K12" s="145">
        <f t="shared" si="5"/>
        <v>0.72</v>
      </c>
      <c r="L12" s="147" t="e">
        <f>SUMIFS(SHIP!$J$5:$J$120, SHIP!#REF!, "Potential", SHIP!$D$5:$D$120, "St Andrews")</f>
        <v>#REF!</v>
      </c>
      <c r="M12" s="148" t="e">
        <f t="shared" si="6"/>
        <v>#REF!</v>
      </c>
      <c r="N12" s="149" t="e">
        <f t="shared" si="7"/>
        <v>#REF!</v>
      </c>
      <c r="O12" s="148" t="e">
        <f t="shared" si="8"/>
        <v>#REF!</v>
      </c>
      <c r="P12" s="150" t="e">
        <f t="shared" si="9"/>
        <v>#REF!</v>
      </c>
      <c r="Q12" s="147" t="e">
        <f>SUMIFS(SHIP!$J$5:$J$120, SHIP!#REF!, "Programmed", SHIP!$D$5:$D$120, "St Andrews")</f>
        <v>#REF!</v>
      </c>
      <c r="R12" s="148" t="e">
        <f t="shared" si="10"/>
        <v>#REF!</v>
      </c>
      <c r="S12" s="149" t="e">
        <f t="shared" si="11"/>
        <v>#REF!</v>
      </c>
      <c r="T12" s="148" t="e">
        <f t="shared" si="12"/>
        <v>#REF!</v>
      </c>
      <c r="U12" s="150" t="e">
        <f t="shared" si="13"/>
        <v>#REF!</v>
      </c>
      <c r="V12" s="7"/>
      <c r="W12" s="7"/>
      <c r="X12" s="7"/>
      <c r="Y12" s="7"/>
      <c r="Z12" s="7"/>
    </row>
    <row r="13" spans="1:26" ht="12.75" customHeight="1">
      <c r="A13" s="31" t="s">
        <v>251</v>
      </c>
      <c r="B13" s="142"/>
      <c r="C13" s="143">
        <v>22</v>
      </c>
      <c r="D13" s="31">
        <f t="shared" si="0"/>
        <v>110</v>
      </c>
      <c r="E13" s="31">
        <f t="shared" si="1"/>
        <v>220</v>
      </c>
      <c r="F13" s="53">
        <f>SUMIF(SHIP!$D$6:$D$120, "Tay Coast", SHIP!$J$6:$J$120)</f>
        <v>30</v>
      </c>
      <c r="G13" s="48" t="e">
        <f>SUMIFS(SHIP!$J$5:$J$120, SHIP!#REF!, "Completed", SHIP!$D$5:$D$120, "Tay Coast")</f>
        <v>#REF!</v>
      </c>
      <c r="H13" s="144">
        <f t="shared" si="2"/>
        <v>-80</v>
      </c>
      <c r="I13" s="145">
        <f t="shared" si="3"/>
        <v>0.27272727272727271</v>
      </c>
      <c r="J13" s="146">
        <f t="shared" si="4"/>
        <v>-190</v>
      </c>
      <c r="K13" s="145">
        <f t="shared" si="5"/>
        <v>0.13636363636363635</v>
      </c>
      <c r="L13" s="147" t="e">
        <f>SUMIFS(SHIP!$J$5:$J$120, SHIP!#REF!, "Potential", SHIP!$D$5:$D$120, "Tay Coast")</f>
        <v>#REF!</v>
      </c>
      <c r="M13" s="148" t="e">
        <f t="shared" si="6"/>
        <v>#REF!</v>
      </c>
      <c r="N13" s="149" t="e">
        <f t="shared" si="7"/>
        <v>#REF!</v>
      </c>
      <c r="O13" s="148" t="e">
        <f t="shared" si="8"/>
        <v>#REF!</v>
      </c>
      <c r="P13" s="150" t="e">
        <f t="shared" si="9"/>
        <v>#REF!</v>
      </c>
      <c r="Q13" s="147" t="e">
        <f>SUMIFS(SHIP!$J$5:$J$120, SHIP!#REF!, "Programmed", SHIP!$D$5:$D$120, "Tay Coast")</f>
        <v>#REF!</v>
      </c>
      <c r="R13" s="148" t="e">
        <f t="shared" si="10"/>
        <v>#REF!</v>
      </c>
      <c r="S13" s="149" t="e">
        <f t="shared" si="11"/>
        <v>#REF!</v>
      </c>
      <c r="T13" s="148" t="e">
        <f t="shared" si="12"/>
        <v>#REF!</v>
      </c>
      <c r="U13" s="150" t="e">
        <f t="shared" si="13"/>
        <v>#REF!</v>
      </c>
      <c r="V13" s="7"/>
      <c r="W13" s="7"/>
      <c r="X13" s="7"/>
      <c r="Y13" s="7"/>
      <c r="Z13" s="7"/>
    </row>
    <row r="14" spans="1:26" ht="12.75" customHeight="1">
      <c r="A14" s="31" t="s">
        <v>112</v>
      </c>
      <c r="B14" s="142"/>
      <c r="C14" s="143">
        <v>26</v>
      </c>
      <c r="D14" s="31">
        <f t="shared" si="0"/>
        <v>130</v>
      </c>
      <c r="E14" s="31">
        <f t="shared" si="1"/>
        <v>260</v>
      </c>
      <c r="F14" s="53">
        <f>SUMIF(SHIP!$D$6:$D$120, "West Fife Villages", SHIP!$J$6:$J$120)</f>
        <v>206</v>
      </c>
      <c r="G14" s="48" t="e">
        <f>SUMIFS(SHIP!$J$5:$J$120, SHIP!#REF!, "Completed", SHIP!$D$5:$D$120, "West Fife Villages")</f>
        <v>#REF!</v>
      </c>
      <c r="H14" s="144">
        <f t="shared" si="2"/>
        <v>76</v>
      </c>
      <c r="I14" s="145">
        <f t="shared" si="3"/>
        <v>1.5846153846153845</v>
      </c>
      <c r="J14" s="146">
        <f t="shared" si="4"/>
        <v>-54</v>
      </c>
      <c r="K14" s="145">
        <f t="shared" si="5"/>
        <v>0.79230769230769227</v>
      </c>
      <c r="L14" s="147" t="e">
        <f>SUMIFS(SHIP!$J$5:$J$120, SHIP!#REF!, "Potential", SHIP!$D$5:$D$120, "West Fife Villages")</f>
        <v>#REF!</v>
      </c>
      <c r="M14" s="148" t="e">
        <f t="shared" si="6"/>
        <v>#REF!</v>
      </c>
      <c r="N14" s="149" t="e">
        <f t="shared" si="7"/>
        <v>#REF!</v>
      </c>
      <c r="O14" s="148" t="e">
        <f t="shared" si="8"/>
        <v>#REF!</v>
      </c>
      <c r="P14" s="150" t="e">
        <f t="shared" si="9"/>
        <v>#REF!</v>
      </c>
      <c r="Q14" s="147" t="e">
        <f>SUMIFS(SHIP!$J$5:$J$120, SHIP!#REF!, "Programmed", SHIP!$D$5:$D$120, "West Fife Villages")</f>
        <v>#REF!</v>
      </c>
      <c r="R14" s="148" t="e">
        <f t="shared" si="10"/>
        <v>#REF!</v>
      </c>
      <c r="S14" s="149" t="e">
        <f t="shared" si="11"/>
        <v>#REF!</v>
      </c>
      <c r="T14" s="148" t="e">
        <f t="shared" si="12"/>
        <v>#REF!</v>
      </c>
      <c r="U14" s="150" t="e">
        <f t="shared" si="13"/>
        <v>#REF!</v>
      </c>
      <c r="V14" s="7"/>
      <c r="W14" s="7"/>
      <c r="X14" s="7"/>
      <c r="Y14" s="7"/>
      <c r="Z14" s="7"/>
    </row>
    <row r="15" spans="1:26" ht="12.75" customHeight="1">
      <c r="A15" s="31" t="s">
        <v>457</v>
      </c>
      <c r="B15" s="142"/>
      <c r="C15" s="143">
        <f>SUM(C5:C14)</f>
        <v>594</v>
      </c>
      <c r="D15" s="31">
        <f t="shared" si="0"/>
        <v>2970</v>
      </c>
      <c r="E15" s="31">
        <f t="shared" si="1"/>
        <v>5940</v>
      </c>
      <c r="F15" s="53">
        <f>SUM(F5:F14)</f>
        <v>2835</v>
      </c>
      <c r="G15" s="53"/>
      <c r="H15" s="144">
        <f t="shared" si="2"/>
        <v>-135</v>
      </c>
      <c r="I15" s="145">
        <f t="shared" si="3"/>
        <v>0.95454545454545459</v>
      </c>
      <c r="J15" s="146">
        <f t="shared" si="4"/>
        <v>-3105</v>
      </c>
      <c r="K15" s="145">
        <f t="shared" si="5"/>
        <v>0.47727272727272729</v>
      </c>
      <c r="L15" s="147" t="e">
        <f>SUM(L5:L14)</f>
        <v>#REF!</v>
      </c>
      <c r="M15" s="148" t="e">
        <f t="shared" si="6"/>
        <v>#REF!</v>
      </c>
      <c r="N15" s="149" t="e">
        <f t="shared" si="7"/>
        <v>#REF!</v>
      </c>
      <c r="O15" s="148" t="e">
        <f t="shared" si="8"/>
        <v>#REF!</v>
      </c>
      <c r="P15" s="150" t="e">
        <f t="shared" si="9"/>
        <v>#REF!</v>
      </c>
      <c r="Q15" s="147" t="e">
        <f>SUM(Q5:Q14)</f>
        <v>#REF!</v>
      </c>
      <c r="R15" s="148" t="e">
        <f t="shared" si="10"/>
        <v>#REF!</v>
      </c>
      <c r="S15" s="149" t="e">
        <f t="shared" si="11"/>
        <v>#REF!</v>
      </c>
      <c r="T15" s="148" t="e">
        <f t="shared" si="12"/>
        <v>#REF!</v>
      </c>
      <c r="U15" s="150" t="e">
        <f t="shared" si="13"/>
        <v>#REF!</v>
      </c>
      <c r="V15" s="7"/>
      <c r="W15" s="7"/>
      <c r="X15" s="7"/>
      <c r="Y15" s="7"/>
      <c r="Z15" s="7"/>
    </row>
    <row r="16" spans="1:26" ht="12.75" customHeight="1">
      <c r="A16" s="151"/>
      <c r="B16" s="152"/>
      <c r="C16" s="153"/>
      <c r="D16" s="151"/>
      <c r="E16" s="151"/>
      <c r="F16" s="151"/>
      <c r="G16" s="151"/>
      <c r="H16" s="154"/>
      <c r="I16" s="155"/>
      <c r="J16" s="156"/>
      <c r="K16" s="155"/>
      <c r="L16" s="157"/>
      <c r="M16" s="158"/>
      <c r="N16" s="159"/>
      <c r="O16" s="158"/>
      <c r="P16" s="159"/>
      <c r="Q16" s="157"/>
      <c r="R16" s="158"/>
      <c r="S16" s="159"/>
      <c r="T16" s="158"/>
      <c r="U16" s="159"/>
      <c r="V16" s="7"/>
      <c r="W16" s="7"/>
      <c r="X16" s="7"/>
      <c r="Y16" s="7"/>
      <c r="Z16" s="7"/>
    </row>
    <row r="17" spans="1:16" ht="12.75" customHeight="1">
      <c r="A17" s="1"/>
      <c r="B17" s="160"/>
      <c r="C17" s="161"/>
      <c r="D17" s="1"/>
      <c r="E17" s="1"/>
      <c r="F17" s="1"/>
      <c r="G17" s="1"/>
      <c r="H17" s="1"/>
      <c r="I17" s="1"/>
      <c r="J17" s="161"/>
      <c r="K17" s="1"/>
      <c r="L17" s="161"/>
      <c r="M17" s="1"/>
      <c r="N17" s="1"/>
      <c r="O17" s="1"/>
      <c r="P17" s="1"/>
    </row>
    <row r="18" spans="1:16" ht="12.75" customHeight="1">
      <c r="A18" s="1"/>
      <c r="B18" s="160"/>
      <c r="C18" s="161"/>
      <c r="D18" s="1"/>
      <c r="E18" s="1"/>
      <c r="F18" s="1"/>
      <c r="G18" s="1"/>
      <c r="H18" s="1"/>
      <c r="I18" s="1"/>
      <c r="J18" s="161"/>
      <c r="K18" s="1"/>
      <c r="L18" s="161"/>
      <c r="M18" s="1"/>
      <c r="N18" s="1"/>
      <c r="O18" s="1"/>
      <c r="P18" s="1"/>
    </row>
    <row r="19" spans="1:1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 customHeight="1">
      <c r="A21" s="1" t="s">
        <v>458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 customHeight="1">
      <c r="A22" s="162" t="s">
        <v>459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 customHeight="1">
      <c r="A23" s="162" t="s">
        <v>460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 customHeight="1">
      <c r="A28" s="7"/>
      <c r="B28" s="7"/>
      <c r="C28" s="7"/>
      <c r="D28" s="7"/>
      <c r="E28" s="7"/>
      <c r="F28" s="7"/>
      <c r="G28" s="1"/>
      <c r="H28" s="7"/>
      <c r="I28" s="7"/>
      <c r="J28" s="7"/>
      <c r="K28" s="7"/>
      <c r="L28" s="7"/>
      <c r="M28" s="7"/>
      <c r="N28" s="7"/>
      <c r="O28" s="7"/>
      <c r="P28" s="7"/>
    </row>
    <row r="29" spans="1:16" ht="12.75" customHeight="1">
      <c r="A29" s="7"/>
      <c r="B29" s="7"/>
      <c r="C29" s="7"/>
      <c r="D29" s="7"/>
      <c r="E29" s="7"/>
      <c r="F29" s="7"/>
      <c r="G29" s="1"/>
      <c r="H29" s="7"/>
      <c r="I29" s="7"/>
      <c r="J29" s="7"/>
      <c r="K29" s="7"/>
      <c r="L29" s="7"/>
      <c r="M29" s="7"/>
      <c r="N29" s="7"/>
      <c r="O29" s="7"/>
      <c r="P29" s="7"/>
    </row>
    <row r="30" spans="1:16" ht="12.75" customHeight="1">
      <c r="A30" s="7"/>
      <c r="B30" s="7"/>
      <c r="C30" s="7"/>
      <c r="D30" s="7"/>
      <c r="E30" s="7"/>
      <c r="F30" s="7"/>
      <c r="G30" s="1"/>
      <c r="H30" s="7"/>
      <c r="I30" s="7"/>
      <c r="J30" s="7"/>
      <c r="K30" s="7"/>
      <c r="L30" s="7"/>
      <c r="M30" s="7"/>
      <c r="N30" s="7"/>
      <c r="O30" s="7"/>
      <c r="P30" s="7"/>
    </row>
    <row r="31" spans="1:16" ht="12.75" customHeight="1">
      <c r="A31" s="7"/>
      <c r="B31" s="7"/>
      <c r="C31" s="7"/>
      <c r="D31" s="7"/>
      <c r="E31" s="7"/>
      <c r="F31" s="7"/>
      <c r="G31" s="1"/>
      <c r="H31" s="7"/>
      <c r="I31" s="7"/>
      <c r="J31" s="7"/>
      <c r="K31" s="7"/>
      <c r="L31" s="7"/>
      <c r="M31" s="7"/>
      <c r="N31" s="7"/>
      <c r="O31" s="7"/>
      <c r="P31" s="7"/>
    </row>
    <row r="32" spans="1:16" ht="12.75" customHeight="1">
      <c r="A32" s="7"/>
      <c r="B32" s="7"/>
      <c r="C32" s="7"/>
      <c r="D32" s="7"/>
      <c r="E32" s="7"/>
      <c r="F32" s="7"/>
      <c r="G32" s="1"/>
      <c r="H32" s="7"/>
      <c r="I32" s="7"/>
      <c r="J32" s="7"/>
      <c r="K32" s="7"/>
      <c r="L32" s="7"/>
      <c r="M32" s="7"/>
      <c r="N32" s="7"/>
      <c r="O32" s="7"/>
      <c r="P32" s="7"/>
    </row>
    <row r="33" spans="7:7" ht="12.75" customHeight="1">
      <c r="G33" s="1"/>
    </row>
    <row r="34" spans="7:7" ht="12.75" customHeight="1">
      <c r="G34" s="1"/>
    </row>
    <row r="35" spans="7:7" ht="12.75" customHeight="1">
      <c r="G35" s="1"/>
    </row>
    <row r="36" spans="7:7" ht="12.75" customHeight="1">
      <c r="G36" s="1"/>
    </row>
    <row r="37" spans="7:7" ht="12.75" customHeight="1">
      <c r="G37" s="1"/>
    </row>
    <row r="38" spans="7:7" ht="12.75" customHeight="1">
      <c r="G38" s="1"/>
    </row>
    <row r="39" spans="7:7" ht="12.75" customHeight="1">
      <c r="G39" s="1"/>
    </row>
    <row r="40" spans="7:7" ht="12.75" customHeight="1">
      <c r="G40" s="1"/>
    </row>
    <row r="41" spans="7:7" ht="12.75" customHeight="1">
      <c r="G41" s="1"/>
    </row>
    <row r="42" spans="7:7" ht="12.75" customHeight="1">
      <c r="G42" s="1"/>
    </row>
    <row r="43" spans="7:7" ht="12.75" customHeight="1">
      <c r="G43" s="1"/>
    </row>
    <row r="44" spans="7:7" ht="12.75" customHeight="1">
      <c r="G44" s="1"/>
    </row>
    <row r="45" spans="7:7" ht="12.75" customHeight="1">
      <c r="G45" s="1"/>
    </row>
    <row r="46" spans="7:7" ht="12.75" customHeight="1">
      <c r="G46" s="1"/>
    </row>
    <row r="47" spans="7:7" ht="12.75" customHeight="1">
      <c r="G47" s="1"/>
    </row>
    <row r="48" spans="7:7" ht="12.75" customHeight="1">
      <c r="G48" s="1"/>
    </row>
    <row r="49" spans="7:7" ht="12.75" customHeight="1">
      <c r="G49" s="1"/>
    </row>
    <row r="50" spans="7:7" ht="12.75" customHeight="1">
      <c r="G50" s="1"/>
    </row>
    <row r="51" spans="7:7" ht="12.75" customHeight="1">
      <c r="G51" s="1"/>
    </row>
    <row r="52" spans="7:7" ht="12.75" customHeight="1">
      <c r="G52" s="1"/>
    </row>
    <row r="53" spans="7:7" ht="12.75" customHeight="1">
      <c r="G53" s="1"/>
    </row>
    <row r="54" spans="7:7" ht="12.75" customHeight="1">
      <c r="G54" s="1"/>
    </row>
    <row r="55" spans="7:7" ht="12.75" customHeight="1">
      <c r="G55" s="1"/>
    </row>
    <row r="56" spans="7:7" ht="12.75" customHeight="1">
      <c r="G56" s="1"/>
    </row>
    <row r="57" spans="7:7" ht="12.75" customHeight="1">
      <c r="G57" s="1"/>
    </row>
    <row r="58" spans="7:7" ht="12.75" customHeight="1">
      <c r="G58" s="1"/>
    </row>
    <row r="59" spans="7:7" ht="12.75" customHeight="1">
      <c r="G59" s="1"/>
    </row>
    <row r="60" spans="7:7" ht="12.75" customHeight="1">
      <c r="G60" s="1"/>
    </row>
    <row r="61" spans="7:7" ht="12.75" customHeight="1">
      <c r="G61" s="1"/>
    </row>
    <row r="62" spans="7:7" ht="12.75" customHeight="1">
      <c r="G62" s="1"/>
    </row>
    <row r="63" spans="7:7" ht="12.75" customHeight="1">
      <c r="G63" s="1"/>
    </row>
    <row r="64" spans="7:7" ht="12.75" customHeight="1">
      <c r="G64" s="1"/>
    </row>
    <row r="65" spans="7:7" ht="12.75" customHeight="1">
      <c r="G65" s="1"/>
    </row>
    <row r="66" spans="7:7" ht="12.75" customHeight="1">
      <c r="G66" s="1"/>
    </row>
    <row r="67" spans="7:7" ht="12.75" customHeight="1">
      <c r="G67" s="1"/>
    </row>
    <row r="68" spans="7:7" ht="12.75" customHeight="1">
      <c r="G68" s="1"/>
    </row>
    <row r="69" spans="7:7" ht="12.75" customHeight="1">
      <c r="G69" s="1"/>
    </row>
    <row r="70" spans="7:7" ht="12.75" customHeight="1">
      <c r="G70" s="1"/>
    </row>
    <row r="71" spans="7:7" ht="12.75" customHeight="1">
      <c r="G71" s="1"/>
    </row>
    <row r="72" spans="7:7" ht="12.75" customHeight="1">
      <c r="G72" s="1"/>
    </row>
    <row r="73" spans="7:7" ht="12.75" customHeight="1">
      <c r="G73" s="1"/>
    </row>
    <row r="74" spans="7:7" ht="12.75" customHeight="1">
      <c r="G74" s="1"/>
    </row>
    <row r="75" spans="7:7" ht="12.75" customHeight="1">
      <c r="G75" s="1"/>
    </row>
    <row r="76" spans="7:7" ht="12.75" customHeight="1">
      <c r="G76" s="1"/>
    </row>
    <row r="77" spans="7:7" ht="12.75" customHeight="1">
      <c r="G77" s="1"/>
    </row>
    <row r="78" spans="7:7" ht="12.75" customHeight="1">
      <c r="G78" s="1"/>
    </row>
    <row r="79" spans="7:7" ht="12.75" customHeight="1">
      <c r="G79" s="1"/>
    </row>
    <row r="80" spans="7:7" ht="12.75" customHeight="1">
      <c r="G80" s="1"/>
    </row>
    <row r="81" spans="7:7" ht="12.75" customHeight="1">
      <c r="G81" s="1"/>
    </row>
    <row r="82" spans="7:7" ht="12.75" customHeight="1">
      <c r="G82" s="1"/>
    </row>
    <row r="83" spans="7:7" ht="12.75" customHeight="1">
      <c r="G83" s="1"/>
    </row>
    <row r="84" spans="7:7" ht="12.75" customHeight="1">
      <c r="G84" s="1"/>
    </row>
    <row r="85" spans="7:7" ht="12.75" customHeight="1">
      <c r="G85" s="1"/>
    </row>
    <row r="86" spans="7:7" ht="12.75" customHeight="1">
      <c r="G86" s="1"/>
    </row>
    <row r="87" spans="7:7" ht="12.75" customHeight="1">
      <c r="G87" s="1"/>
    </row>
    <row r="88" spans="7:7" ht="12.75" customHeight="1">
      <c r="G88" s="1"/>
    </row>
    <row r="89" spans="7:7" ht="12.75" customHeight="1">
      <c r="G89" s="1"/>
    </row>
    <row r="90" spans="7:7" ht="12.75" customHeight="1">
      <c r="G90" s="1"/>
    </row>
    <row r="91" spans="7:7" ht="12.75" customHeight="1">
      <c r="G91" s="1"/>
    </row>
    <row r="92" spans="7:7" ht="12.75" customHeight="1">
      <c r="G92" s="1"/>
    </row>
    <row r="93" spans="7:7" ht="12.75" customHeight="1">
      <c r="G93" s="1"/>
    </row>
    <row r="94" spans="7:7" ht="12.75" customHeight="1">
      <c r="G94" s="1"/>
    </row>
    <row r="95" spans="7:7" ht="12.75" customHeight="1">
      <c r="G95" s="1"/>
    </row>
    <row r="96" spans="7:7" ht="12.75" customHeight="1">
      <c r="G96" s="1"/>
    </row>
    <row r="97" spans="7:7" ht="12.75" customHeight="1">
      <c r="G97" s="1"/>
    </row>
    <row r="98" spans="7:7" ht="12.75" customHeight="1">
      <c r="G98" s="1"/>
    </row>
    <row r="99" spans="7:7" ht="12.75" customHeight="1">
      <c r="G99" s="1"/>
    </row>
    <row r="100" spans="7:7" ht="12.75" customHeight="1">
      <c r="G100" s="1"/>
    </row>
    <row r="101" spans="7:7" ht="12.75" customHeight="1">
      <c r="G101" s="1"/>
    </row>
    <row r="102" spans="7:7" ht="12.75" customHeight="1">
      <c r="G102" s="1"/>
    </row>
    <row r="103" spans="7:7" ht="12.75" customHeight="1">
      <c r="G103" s="1"/>
    </row>
    <row r="104" spans="7:7" ht="12.75" customHeight="1">
      <c r="G104" s="1"/>
    </row>
    <row r="105" spans="7:7" ht="12.75" customHeight="1">
      <c r="G105" s="1"/>
    </row>
    <row r="106" spans="7:7" ht="12.75" customHeight="1">
      <c r="G106" s="1"/>
    </row>
    <row r="107" spans="7:7" ht="12.75" customHeight="1">
      <c r="G107" s="1"/>
    </row>
    <row r="108" spans="7:7" ht="12.75" customHeight="1">
      <c r="G108" s="1"/>
    </row>
    <row r="109" spans="7:7" ht="12.75" customHeight="1">
      <c r="G109" s="1"/>
    </row>
    <row r="110" spans="7:7" ht="12.75" customHeight="1">
      <c r="G110" s="1"/>
    </row>
    <row r="111" spans="7:7" ht="12.75" customHeight="1">
      <c r="G111" s="1"/>
    </row>
    <row r="112" spans="7:7" ht="12.75" customHeight="1">
      <c r="G112" s="1"/>
    </row>
    <row r="113" spans="7:7" ht="12.75" customHeight="1">
      <c r="G113" s="1"/>
    </row>
    <row r="114" spans="7:7" ht="12.75" customHeight="1">
      <c r="G114" s="1"/>
    </row>
    <row r="115" spans="7:7" ht="12.75" customHeight="1">
      <c r="G115" s="1"/>
    </row>
    <row r="116" spans="7:7" ht="12.75" customHeight="1">
      <c r="G116" s="1"/>
    </row>
    <row r="117" spans="7:7" ht="12.75" customHeight="1">
      <c r="G117" s="1"/>
    </row>
    <row r="118" spans="7:7" ht="12.75" customHeight="1">
      <c r="G118" s="1"/>
    </row>
    <row r="119" spans="7:7" ht="12.75" customHeight="1">
      <c r="G119" s="1"/>
    </row>
    <row r="120" spans="7:7" ht="12.75" customHeight="1">
      <c r="G120" s="1"/>
    </row>
    <row r="121" spans="7:7" ht="12.75" customHeight="1">
      <c r="G121" s="1"/>
    </row>
    <row r="122" spans="7:7" ht="12.75" customHeight="1">
      <c r="G122" s="1"/>
    </row>
    <row r="123" spans="7:7" ht="12.75" customHeight="1">
      <c r="G123" s="1"/>
    </row>
    <row r="124" spans="7:7" ht="12.75" customHeight="1">
      <c r="G124" s="1"/>
    </row>
    <row r="125" spans="7:7" ht="12.75" customHeight="1">
      <c r="G125" s="1"/>
    </row>
    <row r="126" spans="7:7" ht="12.75" customHeight="1">
      <c r="G126" s="1"/>
    </row>
    <row r="127" spans="7:7" ht="12.75" customHeight="1">
      <c r="G127" s="1"/>
    </row>
    <row r="128" spans="7:7" ht="12.75" customHeight="1">
      <c r="G128" s="1"/>
    </row>
    <row r="129" spans="7:7" ht="12.75" customHeight="1">
      <c r="G129" s="1"/>
    </row>
    <row r="130" spans="7:7" ht="12.75" customHeight="1">
      <c r="G130" s="1"/>
    </row>
    <row r="131" spans="7:7" ht="12.75" customHeight="1">
      <c r="G131" s="1"/>
    </row>
    <row r="132" spans="7:7" ht="12.75" customHeight="1">
      <c r="G132" s="1"/>
    </row>
    <row r="133" spans="7:7" ht="12.75" customHeight="1">
      <c r="G133" s="1"/>
    </row>
    <row r="134" spans="7:7" ht="12.75" customHeight="1">
      <c r="G134" s="1"/>
    </row>
    <row r="135" spans="7:7" ht="12.75" customHeight="1">
      <c r="G135" s="1"/>
    </row>
    <row r="136" spans="7:7" ht="12.75" customHeight="1">
      <c r="G136" s="1"/>
    </row>
    <row r="137" spans="7:7" ht="12.75" customHeight="1">
      <c r="G137" s="1"/>
    </row>
    <row r="138" spans="7:7" ht="12.75" customHeight="1">
      <c r="G138" s="1"/>
    </row>
    <row r="139" spans="7:7" ht="12.75" customHeight="1">
      <c r="G139" s="1"/>
    </row>
    <row r="140" spans="7:7" ht="12.75" customHeight="1">
      <c r="G140" s="1"/>
    </row>
    <row r="141" spans="7:7" ht="12.75" customHeight="1">
      <c r="G141" s="1"/>
    </row>
    <row r="142" spans="7:7" ht="12.75" customHeight="1">
      <c r="G142" s="1"/>
    </row>
    <row r="143" spans="7:7" ht="12.75" customHeight="1">
      <c r="G143" s="1"/>
    </row>
    <row r="144" spans="7:7" ht="12.75" customHeight="1">
      <c r="G144" s="1"/>
    </row>
    <row r="145" spans="7:7" ht="12.75" customHeight="1">
      <c r="G145" s="1"/>
    </row>
    <row r="146" spans="7:7" ht="12.75" customHeight="1">
      <c r="G146" s="1"/>
    </row>
    <row r="147" spans="7:7" ht="12.75" customHeight="1">
      <c r="G147" s="1"/>
    </row>
    <row r="148" spans="7:7" ht="12.75" customHeight="1">
      <c r="G148" s="1"/>
    </row>
    <row r="149" spans="7:7" ht="12.75" customHeight="1">
      <c r="G149" s="1"/>
    </row>
    <row r="150" spans="7:7" ht="12.75" customHeight="1">
      <c r="G150" s="1"/>
    </row>
    <row r="151" spans="7:7" ht="12.75" customHeight="1">
      <c r="G151" s="1"/>
    </row>
    <row r="152" spans="7:7" ht="12.75" customHeight="1">
      <c r="G152" s="1"/>
    </row>
    <row r="153" spans="7:7" ht="12.75" customHeight="1">
      <c r="G153" s="1"/>
    </row>
    <row r="154" spans="7:7" ht="12.75" customHeight="1">
      <c r="G154" s="1"/>
    </row>
    <row r="155" spans="7:7" ht="12.75" customHeight="1">
      <c r="G155" s="1"/>
    </row>
    <row r="156" spans="7:7" ht="12.75" customHeight="1">
      <c r="G156" s="1"/>
    </row>
    <row r="157" spans="7:7" ht="12.75" customHeight="1">
      <c r="G157" s="1"/>
    </row>
    <row r="158" spans="7:7" ht="12.75" customHeight="1">
      <c r="G158" s="1"/>
    </row>
    <row r="159" spans="7:7" ht="12.75" customHeight="1">
      <c r="G159" s="1"/>
    </row>
    <row r="160" spans="7:7" ht="12.75" customHeight="1">
      <c r="G160" s="1"/>
    </row>
    <row r="161" spans="7:7" ht="12.75" customHeight="1">
      <c r="G161" s="1"/>
    </row>
    <row r="162" spans="7:7" ht="12.75" customHeight="1">
      <c r="G162" s="1"/>
    </row>
    <row r="163" spans="7:7" ht="12.75" customHeight="1">
      <c r="G163" s="1"/>
    </row>
    <row r="164" spans="7:7" ht="12.75" customHeight="1">
      <c r="G164" s="1"/>
    </row>
    <row r="165" spans="7:7" ht="12.75" customHeight="1">
      <c r="G165" s="1"/>
    </row>
    <row r="166" spans="7:7" ht="12.75" customHeight="1">
      <c r="G166" s="1"/>
    </row>
    <row r="167" spans="7:7" ht="12.75" customHeight="1">
      <c r="G167" s="1"/>
    </row>
    <row r="168" spans="7:7" ht="12.75" customHeight="1">
      <c r="G168" s="1"/>
    </row>
    <row r="169" spans="7:7" ht="12.75" customHeight="1">
      <c r="G169" s="1"/>
    </row>
    <row r="170" spans="7:7" ht="12.75" customHeight="1">
      <c r="G170" s="1"/>
    </row>
    <row r="171" spans="7:7" ht="12.75" customHeight="1">
      <c r="G171" s="1"/>
    </row>
    <row r="172" spans="7:7" ht="12.75" customHeight="1">
      <c r="G172" s="1"/>
    </row>
    <row r="173" spans="7:7" ht="12.75" customHeight="1">
      <c r="G173" s="1"/>
    </row>
    <row r="174" spans="7:7" ht="12.75" customHeight="1">
      <c r="G174" s="1"/>
    </row>
    <row r="175" spans="7:7" ht="12.75" customHeight="1">
      <c r="G175" s="1"/>
    </row>
    <row r="176" spans="7:7" ht="12.75" customHeight="1">
      <c r="G176" s="1"/>
    </row>
    <row r="177" spans="7:7" ht="12.75" customHeight="1">
      <c r="G177" s="1"/>
    </row>
    <row r="178" spans="7:7" ht="12.75" customHeight="1">
      <c r="G178" s="1"/>
    </row>
    <row r="179" spans="7:7" ht="12.75" customHeight="1">
      <c r="G179" s="1"/>
    </row>
    <row r="180" spans="7:7" ht="12.75" customHeight="1">
      <c r="G180" s="1"/>
    </row>
    <row r="181" spans="7:7" ht="12.75" customHeight="1">
      <c r="G181" s="1"/>
    </row>
    <row r="182" spans="7:7" ht="12.75" customHeight="1">
      <c r="G182" s="1"/>
    </row>
    <row r="183" spans="7:7" ht="12.75" customHeight="1">
      <c r="G183" s="1"/>
    </row>
    <row r="184" spans="7:7" ht="12.75" customHeight="1">
      <c r="G184" s="1"/>
    </row>
    <row r="185" spans="7:7" ht="12.75" customHeight="1">
      <c r="G185" s="1"/>
    </row>
    <row r="186" spans="7:7" ht="12.75" customHeight="1">
      <c r="G186" s="1"/>
    </row>
    <row r="187" spans="7:7" ht="12.75" customHeight="1">
      <c r="G187" s="1"/>
    </row>
    <row r="188" spans="7:7" ht="12.75" customHeight="1">
      <c r="G188" s="1"/>
    </row>
    <row r="189" spans="7:7" ht="12.75" customHeight="1">
      <c r="G189" s="1"/>
    </row>
    <row r="190" spans="7:7" ht="12.75" customHeight="1">
      <c r="G190" s="1"/>
    </row>
    <row r="191" spans="7:7" ht="12.75" customHeight="1">
      <c r="G191" s="1"/>
    </row>
    <row r="192" spans="7:7" ht="12.75" customHeight="1">
      <c r="G192" s="1"/>
    </row>
    <row r="193" spans="7:7" ht="12.75" customHeight="1">
      <c r="G193" s="1"/>
    </row>
    <row r="194" spans="7:7" ht="12.75" customHeight="1">
      <c r="G194" s="1"/>
    </row>
    <row r="195" spans="7:7" ht="12.75" customHeight="1">
      <c r="G195" s="1"/>
    </row>
    <row r="196" spans="7:7" ht="12.75" customHeight="1">
      <c r="G196" s="1"/>
    </row>
    <row r="197" spans="7:7" ht="12.75" customHeight="1">
      <c r="G197" s="1"/>
    </row>
    <row r="198" spans="7:7" ht="12.75" customHeight="1">
      <c r="G198" s="1"/>
    </row>
    <row r="199" spans="7:7" ht="12.75" customHeight="1">
      <c r="G199" s="1"/>
    </row>
    <row r="200" spans="7:7" ht="12.75" customHeight="1">
      <c r="G200" s="1"/>
    </row>
    <row r="201" spans="7:7" ht="12.75" customHeight="1">
      <c r="G201" s="1"/>
    </row>
    <row r="202" spans="7:7" ht="12.75" customHeight="1">
      <c r="G202" s="1"/>
    </row>
    <row r="203" spans="7:7" ht="12.75" customHeight="1">
      <c r="G203" s="1"/>
    </row>
    <row r="204" spans="7:7" ht="12.75" customHeight="1">
      <c r="G204" s="1"/>
    </row>
    <row r="205" spans="7:7" ht="12.75" customHeight="1">
      <c r="G205" s="1"/>
    </row>
    <row r="206" spans="7:7" ht="12.75" customHeight="1">
      <c r="G206" s="1"/>
    </row>
    <row r="207" spans="7:7" ht="12.75" customHeight="1">
      <c r="G207" s="1"/>
    </row>
    <row r="208" spans="7:7" ht="12.75" customHeight="1">
      <c r="G208" s="1"/>
    </row>
    <row r="209" spans="7:7" ht="12.75" customHeight="1">
      <c r="G209" s="1"/>
    </row>
    <row r="210" spans="7:7" ht="12.75" customHeight="1">
      <c r="G210" s="1"/>
    </row>
    <row r="211" spans="7:7" ht="12.75" customHeight="1">
      <c r="G211" s="1"/>
    </row>
    <row r="212" spans="7:7" ht="12.75" customHeight="1">
      <c r="G212" s="1"/>
    </row>
    <row r="213" spans="7:7" ht="12.75" customHeight="1">
      <c r="G213" s="1"/>
    </row>
    <row r="214" spans="7:7" ht="12.75" customHeight="1">
      <c r="G214" s="1"/>
    </row>
    <row r="215" spans="7:7" ht="12.75" customHeight="1">
      <c r="G215" s="1"/>
    </row>
    <row r="216" spans="7:7" ht="12.75" customHeight="1">
      <c r="G216" s="1"/>
    </row>
    <row r="217" spans="7:7" ht="12.75" customHeight="1">
      <c r="G217" s="1"/>
    </row>
    <row r="218" spans="7:7" ht="12.75" customHeight="1">
      <c r="G218" s="1"/>
    </row>
    <row r="219" spans="7:7" ht="12.75" customHeight="1">
      <c r="G219" s="1"/>
    </row>
    <row r="220" spans="7:7" ht="12.75" customHeight="1">
      <c r="G220" s="1"/>
    </row>
    <row r="221" spans="7:7" ht="12.75" customHeight="1">
      <c r="G221" s="1"/>
    </row>
    <row r="222" spans="7:7" ht="12.75" customHeight="1">
      <c r="G222" s="1"/>
    </row>
    <row r="223" spans="7:7" ht="12.75" customHeight="1">
      <c r="G223" s="1"/>
    </row>
    <row r="224" spans="7:7" ht="12.75" customHeight="1">
      <c r="G224" s="1"/>
    </row>
    <row r="225" spans="7:7" ht="12.75" customHeight="1">
      <c r="G225" s="1"/>
    </row>
    <row r="226" spans="7:7" ht="12.75" customHeight="1">
      <c r="G226" s="1"/>
    </row>
    <row r="227" spans="7:7" ht="12.75" customHeight="1">
      <c r="G227" s="1"/>
    </row>
    <row r="228" spans="7:7" ht="12.75" customHeight="1">
      <c r="G228" s="1"/>
    </row>
    <row r="229" spans="7:7" ht="12.75" customHeight="1">
      <c r="G229" s="1"/>
    </row>
    <row r="230" spans="7:7" ht="12.75" customHeight="1">
      <c r="G230" s="1"/>
    </row>
    <row r="231" spans="7:7" ht="12.75" customHeight="1">
      <c r="G231" s="1"/>
    </row>
    <row r="232" spans="7:7" ht="12.75" customHeight="1">
      <c r="G232" s="1"/>
    </row>
    <row r="233" spans="7:7" ht="12.75" customHeight="1">
      <c r="G233" s="1"/>
    </row>
    <row r="234" spans="7:7" ht="12.75" customHeight="1">
      <c r="G234" s="1"/>
    </row>
    <row r="235" spans="7:7" ht="12.75" customHeight="1">
      <c r="G235" s="1"/>
    </row>
    <row r="236" spans="7:7" ht="12.75" customHeight="1">
      <c r="G236" s="1"/>
    </row>
    <row r="237" spans="7:7" ht="12.75" customHeight="1">
      <c r="G237" s="1"/>
    </row>
    <row r="238" spans="7:7" ht="12.75" customHeight="1">
      <c r="G238" s="1"/>
    </row>
    <row r="239" spans="7:7" ht="12.75" customHeight="1">
      <c r="G239" s="1"/>
    </row>
    <row r="240" spans="7:7" ht="12.75" customHeight="1">
      <c r="G240" s="1"/>
    </row>
    <row r="241" spans="7:7" ht="12.75" customHeight="1">
      <c r="G241" s="1"/>
    </row>
    <row r="242" spans="7:7" ht="12.75" customHeight="1">
      <c r="G242" s="1"/>
    </row>
    <row r="243" spans="7:7" ht="12.75" customHeight="1">
      <c r="G243" s="1"/>
    </row>
    <row r="244" spans="7:7" ht="12.75" customHeight="1">
      <c r="G244" s="1"/>
    </row>
    <row r="245" spans="7:7" ht="12.75" customHeight="1">
      <c r="G245" s="1"/>
    </row>
    <row r="246" spans="7:7" ht="12.75" customHeight="1">
      <c r="G246" s="1"/>
    </row>
    <row r="247" spans="7:7" ht="12.75" customHeight="1">
      <c r="G247" s="1"/>
    </row>
    <row r="248" spans="7:7" ht="12.75" customHeight="1">
      <c r="G248" s="1"/>
    </row>
    <row r="249" spans="7:7" ht="12.75" customHeight="1">
      <c r="G249" s="1"/>
    </row>
    <row r="250" spans="7:7" ht="12.75" customHeight="1">
      <c r="G250" s="1"/>
    </row>
    <row r="251" spans="7:7" ht="12.75" customHeight="1">
      <c r="G251" s="1"/>
    </row>
    <row r="252" spans="7:7" ht="12.75" customHeight="1">
      <c r="G252" s="1"/>
    </row>
    <row r="253" spans="7:7" ht="12.75" customHeight="1">
      <c r="G253" s="1"/>
    </row>
    <row r="254" spans="7:7" ht="12.75" customHeight="1">
      <c r="G254" s="1"/>
    </row>
    <row r="255" spans="7:7" ht="12.75" customHeight="1">
      <c r="G255" s="1"/>
    </row>
    <row r="256" spans="7:7" ht="12.75" customHeight="1">
      <c r="G256" s="1"/>
    </row>
    <row r="257" spans="7:7" ht="12.75" customHeight="1">
      <c r="G257" s="1"/>
    </row>
    <row r="258" spans="7:7" ht="12.75" customHeight="1">
      <c r="G258" s="1"/>
    </row>
    <row r="259" spans="7:7" ht="12.75" customHeight="1">
      <c r="G259" s="1"/>
    </row>
    <row r="260" spans="7:7" ht="12.75" customHeight="1">
      <c r="G260" s="1"/>
    </row>
    <row r="261" spans="7:7" ht="12.75" customHeight="1">
      <c r="G261" s="1"/>
    </row>
    <row r="262" spans="7:7" ht="12.75" customHeight="1">
      <c r="G262" s="1"/>
    </row>
    <row r="263" spans="7:7" ht="12.75" customHeight="1">
      <c r="G263" s="1"/>
    </row>
    <row r="264" spans="7:7" ht="12.75" customHeight="1">
      <c r="G264" s="1"/>
    </row>
    <row r="265" spans="7:7" ht="12.75" customHeight="1">
      <c r="G265" s="1"/>
    </row>
    <row r="266" spans="7:7" ht="12.75" customHeight="1">
      <c r="G266" s="1"/>
    </row>
    <row r="267" spans="7:7" ht="12.75" customHeight="1">
      <c r="G267" s="1"/>
    </row>
    <row r="268" spans="7:7" ht="12.75" customHeight="1">
      <c r="G268" s="1"/>
    </row>
    <row r="269" spans="7:7" ht="12.75" customHeight="1">
      <c r="G269" s="1"/>
    </row>
    <row r="270" spans="7:7" ht="12.75" customHeight="1">
      <c r="G270" s="1"/>
    </row>
    <row r="271" spans="7:7" ht="12.75" customHeight="1">
      <c r="G271" s="1"/>
    </row>
    <row r="272" spans="7:7" ht="12.75" customHeight="1">
      <c r="G272" s="1"/>
    </row>
    <row r="273" spans="7:7" ht="12.75" customHeight="1">
      <c r="G273" s="1"/>
    </row>
    <row r="274" spans="7:7" ht="12.75" customHeight="1">
      <c r="G274" s="1"/>
    </row>
    <row r="275" spans="7:7" ht="12.75" customHeight="1">
      <c r="G275" s="1"/>
    </row>
    <row r="276" spans="7:7" ht="12.75" customHeight="1">
      <c r="G276" s="1"/>
    </row>
    <row r="277" spans="7:7" ht="12.75" customHeight="1">
      <c r="G277" s="1"/>
    </row>
    <row r="278" spans="7:7" ht="12.75" customHeight="1">
      <c r="G278" s="1"/>
    </row>
    <row r="279" spans="7:7" ht="12.75" customHeight="1">
      <c r="G279" s="1"/>
    </row>
    <row r="280" spans="7:7" ht="12.75" customHeight="1">
      <c r="G280" s="1"/>
    </row>
    <row r="281" spans="7:7" ht="12.75" customHeight="1">
      <c r="G281" s="1"/>
    </row>
    <row r="282" spans="7:7" ht="12.75" customHeight="1">
      <c r="G282" s="1"/>
    </row>
    <row r="283" spans="7:7" ht="12.75" customHeight="1">
      <c r="G283" s="1"/>
    </row>
    <row r="284" spans="7:7" ht="12.75" customHeight="1">
      <c r="G284" s="1"/>
    </row>
    <row r="285" spans="7:7" ht="12.75" customHeight="1">
      <c r="G285" s="1"/>
    </row>
    <row r="286" spans="7:7" ht="12.75" customHeight="1">
      <c r="G286" s="1"/>
    </row>
    <row r="287" spans="7:7" ht="12.75" customHeight="1">
      <c r="G287" s="1"/>
    </row>
    <row r="288" spans="7:7" ht="12.75" customHeight="1">
      <c r="G288" s="1"/>
    </row>
    <row r="289" spans="7:7" ht="12.75" customHeight="1">
      <c r="G289" s="1"/>
    </row>
    <row r="290" spans="7:7" ht="12.75" customHeight="1">
      <c r="G290" s="1"/>
    </row>
    <row r="291" spans="7:7" ht="12.75" customHeight="1">
      <c r="G291" s="1"/>
    </row>
    <row r="292" spans="7:7" ht="12.75" customHeight="1">
      <c r="G292" s="1"/>
    </row>
    <row r="293" spans="7:7" ht="12.75" customHeight="1">
      <c r="G293" s="1"/>
    </row>
    <row r="294" spans="7:7" ht="12.75" customHeight="1">
      <c r="G294" s="1"/>
    </row>
    <row r="295" spans="7:7" ht="12.75" customHeight="1">
      <c r="G295" s="1"/>
    </row>
    <row r="296" spans="7:7" ht="12.75" customHeight="1">
      <c r="G296" s="1"/>
    </row>
    <row r="297" spans="7:7" ht="12.75" customHeight="1">
      <c r="G297" s="1"/>
    </row>
    <row r="298" spans="7:7" ht="12.75" customHeight="1">
      <c r="G298" s="1"/>
    </row>
    <row r="299" spans="7:7" ht="12.75" customHeight="1">
      <c r="G299" s="1"/>
    </row>
    <row r="300" spans="7:7" ht="12.75" customHeight="1">
      <c r="G300" s="1"/>
    </row>
    <row r="301" spans="7:7" ht="12.75" customHeight="1">
      <c r="G301" s="1"/>
    </row>
    <row r="302" spans="7:7" ht="12.75" customHeight="1">
      <c r="G302" s="1"/>
    </row>
    <row r="303" spans="7:7" ht="12.75" customHeight="1">
      <c r="G303" s="1"/>
    </row>
    <row r="304" spans="7:7" ht="12.75" customHeight="1">
      <c r="G304" s="1"/>
    </row>
    <row r="305" spans="7:7" ht="12.75" customHeight="1">
      <c r="G305" s="1"/>
    </row>
    <row r="306" spans="7:7" ht="12.75" customHeight="1">
      <c r="G306" s="1"/>
    </row>
    <row r="307" spans="7:7" ht="12.75" customHeight="1">
      <c r="G307" s="1"/>
    </row>
    <row r="308" spans="7:7" ht="12.75" customHeight="1">
      <c r="G308" s="1"/>
    </row>
    <row r="309" spans="7:7" ht="12.75" customHeight="1">
      <c r="G309" s="1"/>
    </row>
    <row r="310" spans="7:7" ht="12.75" customHeight="1">
      <c r="G310" s="1"/>
    </row>
    <row r="311" spans="7:7" ht="12.75" customHeight="1">
      <c r="G311" s="1"/>
    </row>
    <row r="312" spans="7:7" ht="12.75" customHeight="1">
      <c r="G312" s="1"/>
    </row>
    <row r="313" spans="7:7" ht="12.75" customHeight="1">
      <c r="G313" s="1"/>
    </row>
    <row r="314" spans="7:7" ht="12.75" customHeight="1">
      <c r="G314" s="1"/>
    </row>
    <row r="315" spans="7:7" ht="12.75" customHeight="1">
      <c r="G315" s="1"/>
    </row>
    <row r="316" spans="7:7" ht="12.75" customHeight="1">
      <c r="G316" s="1"/>
    </row>
    <row r="317" spans="7:7" ht="12.75" customHeight="1">
      <c r="G317" s="1"/>
    </row>
    <row r="318" spans="7:7" ht="12.75" customHeight="1">
      <c r="G318" s="1"/>
    </row>
    <row r="319" spans="7:7" ht="12.75" customHeight="1">
      <c r="G319" s="1"/>
    </row>
    <row r="320" spans="7:7" ht="12.75" customHeight="1">
      <c r="G320" s="1"/>
    </row>
    <row r="321" spans="7:7" ht="12.75" customHeight="1">
      <c r="G321" s="1"/>
    </row>
    <row r="322" spans="7:7" ht="12.75" customHeight="1">
      <c r="G322" s="1"/>
    </row>
    <row r="323" spans="7:7" ht="12.75" customHeight="1">
      <c r="G323" s="1"/>
    </row>
    <row r="324" spans="7:7" ht="12.75" customHeight="1">
      <c r="G324" s="1"/>
    </row>
    <row r="325" spans="7:7" ht="12.75" customHeight="1">
      <c r="G325" s="1"/>
    </row>
    <row r="326" spans="7:7" ht="12.75" customHeight="1">
      <c r="G326" s="1"/>
    </row>
    <row r="327" spans="7:7" ht="12.75" customHeight="1">
      <c r="G327" s="1"/>
    </row>
    <row r="328" spans="7:7" ht="12.75" customHeight="1">
      <c r="G328" s="1"/>
    </row>
    <row r="329" spans="7:7" ht="12.75" customHeight="1">
      <c r="G329" s="1"/>
    </row>
    <row r="330" spans="7:7" ht="12.75" customHeight="1">
      <c r="G330" s="1"/>
    </row>
    <row r="331" spans="7:7" ht="12.75" customHeight="1">
      <c r="G331" s="1"/>
    </row>
    <row r="332" spans="7:7" ht="12.75" customHeight="1">
      <c r="G332" s="1"/>
    </row>
    <row r="333" spans="7:7" ht="12.75" customHeight="1">
      <c r="G333" s="1"/>
    </row>
    <row r="334" spans="7:7" ht="12.75" customHeight="1">
      <c r="G334" s="1"/>
    </row>
    <row r="335" spans="7:7" ht="12.75" customHeight="1">
      <c r="G335" s="1"/>
    </row>
    <row r="336" spans="7:7" ht="12.75" customHeight="1">
      <c r="G336" s="1"/>
    </row>
    <row r="337" spans="7:7" ht="12.75" customHeight="1">
      <c r="G337" s="1"/>
    </row>
    <row r="338" spans="7:7" ht="12.75" customHeight="1">
      <c r="G338" s="1"/>
    </row>
    <row r="339" spans="7:7" ht="12.75" customHeight="1">
      <c r="G339" s="1"/>
    </row>
    <row r="340" spans="7:7" ht="12.75" customHeight="1">
      <c r="G340" s="1"/>
    </row>
    <row r="341" spans="7:7" ht="12.75" customHeight="1">
      <c r="G341" s="1"/>
    </row>
    <row r="342" spans="7:7" ht="12.75" customHeight="1">
      <c r="G342" s="1"/>
    </row>
    <row r="343" spans="7:7" ht="12.75" customHeight="1">
      <c r="G343" s="1"/>
    </row>
    <row r="344" spans="7:7" ht="12.75" customHeight="1">
      <c r="G344" s="1"/>
    </row>
    <row r="345" spans="7:7" ht="12.75" customHeight="1">
      <c r="G345" s="1"/>
    </row>
    <row r="346" spans="7:7" ht="12.75" customHeight="1">
      <c r="G346" s="1"/>
    </row>
    <row r="347" spans="7:7" ht="12.75" customHeight="1">
      <c r="G347" s="1"/>
    </row>
    <row r="348" spans="7:7" ht="12.75" customHeight="1">
      <c r="G348" s="1"/>
    </row>
    <row r="349" spans="7:7" ht="12.75" customHeight="1">
      <c r="G349" s="1"/>
    </row>
    <row r="350" spans="7:7" ht="12.75" customHeight="1">
      <c r="G350" s="1"/>
    </row>
    <row r="351" spans="7:7" ht="12.75" customHeight="1">
      <c r="G351" s="1"/>
    </row>
    <row r="352" spans="7:7" ht="12.75" customHeight="1">
      <c r="G352" s="1"/>
    </row>
    <row r="353" spans="7:7" ht="12.75" customHeight="1">
      <c r="G353" s="1"/>
    </row>
    <row r="354" spans="7:7" ht="12.75" customHeight="1">
      <c r="G354" s="1"/>
    </row>
    <row r="355" spans="7:7" ht="12.75" customHeight="1">
      <c r="G355" s="1"/>
    </row>
    <row r="356" spans="7:7" ht="12.75" customHeight="1">
      <c r="G356" s="1"/>
    </row>
    <row r="357" spans="7:7" ht="12.75" customHeight="1">
      <c r="G357" s="1"/>
    </row>
    <row r="358" spans="7:7" ht="12.75" customHeight="1">
      <c r="G358" s="1"/>
    </row>
    <row r="359" spans="7:7" ht="12.75" customHeight="1">
      <c r="G359" s="1"/>
    </row>
    <row r="360" spans="7:7" ht="12.75" customHeight="1">
      <c r="G360" s="1"/>
    </row>
    <row r="361" spans="7:7" ht="12.75" customHeight="1">
      <c r="G361" s="1"/>
    </row>
    <row r="362" spans="7:7" ht="12.75" customHeight="1">
      <c r="G362" s="1"/>
    </row>
    <row r="363" spans="7:7" ht="12.75" customHeight="1">
      <c r="G363" s="1"/>
    </row>
    <row r="364" spans="7:7" ht="12.75" customHeight="1">
      <c r="G364" s="1"/>
    </row>
    <row r="365" spans="7:7" ht="12.75" customHeight="1">
      <c r="G365" s="1"/>
    </row>
    <row r="366" spans="7:7" ht="12.75" customHeight="1">
      <c r="G366" s="1"/>
    </row>
    <row r="367" spans="7:7" ht="12.75" customHeight="1">
      <c r="G367" s="1"/>
    </row>
    <row r="368" spans="7:7" ht="12.75" customHeight="1">
      <c r="G368" s="1"/>
    </row>
    <row r="369" spans="7:7" ht="12.75" customHeight="1">
      <c r="G369" s="1"/>
    </row>
    <row r="370" spans="7:7" ht="12.75" customHeight="1">
      <c r="G370" s="1"/>
    </row>
    <row r="371" spans="7:7" ht="12.75" customHeight="1">
      <c r="G371" s="1"/>
    </row>
    <row r="372" spans="7:7" ht="12.75" customHeight="1">
      <c r="G372" s="1"/>
    </row>
    <row r="373" spans="7:7" ht="12.75" customHeight="1">
      <c r="G373" s="1"/>
    </row>
    <row r="374" spans="7:7" ht="12.75" customHeight="1">
      <c r="G374" s="1"/>
    </row>
    <row r="375" spans="7:7" ht="12.75" customHeight="1">
      <c r="G375" s="1"/>
    </row>
    <row r="376" spans="7:7" ht="12.75" customHeight="1">
      <c r="G376" s="1"/>
    </row>
    <row r="377" spans="7:7" ht="12.75" customHeight="1">
      <c r="G377" s="1"/>
    </row>
    <row r="378" spans="7:7" ht="12.75" customHeight="1">
      <c r="G378" s="1"/>
    </row>
    <row r="379" spans="7:7" ht="12.75" customHeight="1">
      <c r="G379" s="1"/>
    </row>
    <row r="380" spans="7:7" ht="12.75" customHeight="1">
      <c r="G380" s="1"/>
    </row>
    <row r="381" spans="7:7" ht="12.75" customHeight="1">
      <c r="G381" s="1"/>
    </row>
    <row r="382" spans="7:7" ht="12.75" customHeight="1">
      <c r="G382" s="1"/>
    </row>
    <row r="383" spans="7:7" ht="12.75" customHeight="1">
      <c r="G383" s="1"/>
    </row>
    <row r="384" spans="7:7" ht="12.75" customHeight="1">
      <c r="G384" s="1"/>
    </row>
    <row r="385" spans="7:7" ht="12.75" customHeight="1">
      <c r="G385" s="1"/>
    </row>
    <row r="386" spans="7:7" ht="12.75" customHeight="1">
      <c r="G386" s="1"/>
    </row>
    <row r="387" spans="7:7" ht="12.75" customHeight="1">
      <c r="G387" s="1"/>
    </row>
    <row r="388" spans="7:7" ht="12.75" customHeight="1">
      <c r="G388" s="1"/>
    </row>
    <row r="389" spans="7:7" ht="12.75" customHeight="1">
      <c r="G389" s="1"/>
    </row>
    <row r="390" spans="7:7" ht="12.75" customHeight="1">
      <c r="G390" s="1"/>
    </row>
    <row r="391" spans="7:7" ht="12.75" customHeight="1">
      <c r="G391" s="1"/>
    </row>
    <row r="392" spans="7:7" ht="12.75" customHeight="1">
      <c r="G392" s="1"/>
    </row>
    <row r="393" spans="7:7" ht="12.75" customHeight="1">
      <c r="G393" s="1"/>
    </row>
    <row r="394" spans="7:7" ht="12.75" customHeight="1">
      <c r="G394" s="1"/>
    </row>
    <row r="395" spans="7:7" ht="12.75" customHeight="1">
      <c r="G395" s="1"/>
    </row>
    <row r="396" spans="7:7" ht="12.75" customHeight="1">
      <c r="G396" s="1"/>
    </row>
    <row r="397" spans="7:7" ht="12.75" customHeight="1">
      <c r="G397" s="1"/>
    </row>
    <row r="398" spans="7:7" ht="12.75" customHeight="1">
      <c r="G398" s="1"/>
    </row>
    <row r="399" spans="7:7" ht="12.75" customHeight="1">
      <c r="G399" s="1"/>
    </row>
    <row r="400" spans="7:7" ht="12.75" customHeight="1">
      <c r="G400" s="1"/>
    </row>
    <row r="401" spans="7:7" ht="12.75" customHeight="1">
      <c r="G401" s="1"/>
    </row>
    <row r="402" spans="7:7" ht="12.75" customHeight="1">
      <c r="G402" s="1"/>
    </row>
    <row r="403" spans="7:7" ht="12.75" customHeight="1">
      <c r="G403" s="1"/>
    </row>
    <row r="404" spans="7:7" ht="12.75" customHeight="1">
      <c r="G404" s="1"/>
    </row>
    <row r="405" spans="7:7" ht="12.75" customHeight="1">
      <c r="G405" s="1"/>
    </row>
    <row r="406" spans="7:7" ht="12.75" customHeight="1">
      <c r="G406" s="1"/>
    </row>
    <row r="407" spans="7:7" ht="12.75" customHeight="1">
      <c r="G407" s="1"/>
    </row>
    <row r="408" spans="7:7" ht="12.75" customHeight="1">
      <c r="G408" s="1"/>
    </row>
    <row r="409" spans="7:7" ht="12.75" customHeight="1">
      <c r="G409" s="1"/>
    </row>
    <row r="410" spans="7:7" ht="12.75" customHeight="1">
      <c r="G410" s="1"/>
    </row>
    <row r="411" spans="7:7" ht="12.75" customHeight="1">
      <c r="G411" s="1"/>
    </row>
    <row r="412" spans="7:7" ht="12.75" customHeight="1">
      <c r="G412" s="1"/>
    </row>
    <row r="413" spans="7:7" ht="12.75" customHeight="1">
      <c r="G413" s="1"/>
    </row>
    <row r="414" spans="7:7" ht="12.75" customHeight="1">
      <c r="G414" s="1"/>
    </row>
    <row r="415" spans="7:7" ht="12.75" customHeight="1">
      <c r="G415" s="1"/>
    </row>
    <row r="416" spans="7:7" ht="12.75" customHeight="1">
      <c r="G416" s="1"/>
    </row>
    <row r="417" spans="7:7" ht="12.75" customHeight="1">
      <c r="G417" s="1"/>
    </row>
    <row r="418" spans="7:7" ht="12.75" customHeight="1">
      <c r="G418" s="1"/>
    </row>
    <row r="419" spans="7:7" ht="12.75" customHeight="1">
      <c r="G419" s="1"/>
    </row>
    <row r="420" spans="7:7" ht="12.75" customHeight="1">
      <c r="G420" s="1"/>
    </row>
    <row r="421" spans="7:7" ht="12.75" customHeight="1">
      <c r="G421" s="1"/>
    </row>
    <row r="422" spans="7:7" ht="12.75" customHeight="1">
      <c r="G422" s="1"/>
    </row>
    <row r="423" spans="7:7" ht="12.75" customHeight="1">
      <c r="G423" s="1"/>
    </row>
    <row r="424" spans="7:7" ht="12.75" customHeight="1">
      <c r="G424" s="1"/>
    </row>
    <row r="425" spans="7:7" ht="12.75" customHeight="1">
      <c r="G425" s="1"/>
    </row>
    <row r="426" spans="7:7" ht="12.75" customHeight="1">
      <c r="G426" s="1"/>
    </row>
    <row r="427" spans="7:7" ht="12.75" customHeight="1">
      <c r="G427" s="1"/>
    </row>
    <row r="428" spans="7:7" ht="12.75" customHeight="1">
      <c r="G428" s="1"/>
    </row>
    <row r="429" spans="7:7" ht="12.75" customHeight="1">
      <c r="G429" s="1"/>
    </row>
    <row r="430" spans="7:7" ht="12.75" customHeight="1">
      <c r="G430" s="1"/>
    </row>
    <row r="431" spans="7:7" ht="12.75" customHeight="1">
      <c r="G431" s="1"/>
    </row>
    <row r="432" spans="7:7" ht="12.75" customHeight="1">
      <c r="G432" s="1"/>
    </row>
    <row r="433" spans="7:7" ht="12.75" customHeight="1">
      <c r="G433" s="1"/>
    </row>
    <row r="434" spans="7:7" ht="12.75" customHeight="1">
      <c r="G434" s="1"/>
    </row>
    <row r="435" spans="7:7" ht="12.75" customHeight="1">
      <c r="G435" s="1"/>
    </row>
    <row r="436" spans="7:7" ht="12.75" customHeight="1">
      <c r="G436" s="1"/>
    </row>
    <row r="437" spans="7:7" ht="12.75" customHeight="1">
      <c r="G437" s="1"/>
    </row>
    <row r="438" spans="7:7" ht="12.75" customHeight="1">
      <c r="G438" s="1"/>
    </row>
    <row r="439" spans="7:7" ht="12.75" customHeight="1">
      <c r="G439" s="1"/>
    </row>
    <row r="440" spans="7:7" ht="12.75" customHeight="1">
      <c r="G440" s="1"/>
    </row>
    <row r="441" spans="7:7" ht="12.75" customHeight="1">
      <c r="G441" s="1"/>
    </row>
    <row r="442" spans="7:7" ht="12.75" customHeight="1">
      <c r="G442" s="1"/>
    </row>
    <row r="443" spans="7:7" ht="12.75" customHeight="1">
      <c r="G443" s="1"/>
    </row>
    <row r="444" spans="7:7" ht="12.75" customHeight="1">
      <c r="G444" s="1"/>
    </row>
    <row r="445" spans="7:7" ht="12.75" customHeight="1">
      <c r="G445" s="1"/>
    </row>
    <row r="446" spans="7:7" ht="12.75" customHeight="1">
      <c r="G446" s="1"/>
    </row>
    <row r="447" spans="7:7" ht="12.75" customHeight="1">
      <c r="G447" s="1"/>
    </row>
    <row r="448" spans="7:7" ht="12.75" customHeight="1">
      <c r="G448" s="1"/>
    </row>
    <row r="449" spans="7:7" ht="12.75" customHeight="1">
      <c r="G449" s="1"/>
    </row>
    <row r="450" spans="7:7" ht="12.75" customHeight="1">
      <c r="G450" s="1"/>
    </row>
    <row r="451" spans="7:7" ht="12.75" customHeight="1">
      <c r="G451" s="1"/>
    </row>
    <row r="452" spans="7:7" ht="12.75" customHeight="1">
      <c r="G452" s="1"/>
    </row>
    <row r="453" spans="7:7" ht="12.75" customHeight="1">
      <c r="G453" s="1"/>
    </row>
    <row r="454" spans="7:7" ht="12.75" customHeight="1">
      <c r="G454" s="1"/>
    </row>
    <row r="455" spans="7:7" ht="12.75" customHeight="1">
      <c r="G455" s="1"/>
    </row>
    <row r="456" spans="7:7" ht="12.75" customHeight="1">
      <c r="G456" s="1"/>
    </row>
    <row r="457" spans="7:7" ht="12.75" customHeight="1">
      <c r="G457" s="1"/>
    </row>
    <row r="458" spans="7:7" ht="12.75" customHeight="1">
      <c r="G458" s="1"/>
    </row>
    <row r="459" spans="7:7" ht="12.75" customHeight="1">
      <c r="G459" s="1"/>
    </row>
    <row r="460" spans="7:7" ht="12.75" customHeight="1">
      <c r="G460" s="1"/>
    </row>
    <row r="461" spans="7:7" ht="12.75" customHeight="1">
      <c r="G461" s="1"/>
    </row>
    <row r="462" spans="7:7" ht="12.75" customHeight="1">
      <c r="G462" s="1"/>
    </row>
    <row r="463" spans="7:7" ht="12.75" customHeight="1">
      <c r="G463" s="1"/>
    </row>
    <row r="464" spans="7:7" ht="12.75" customHeight="1">
      <c r="G464" s="1"/>
    </row>
    <row r="465" spans="7:7" ht="12.75" customHeight="1">
      <c r="G465" s="1"/>
    </row>
    <row r="466" spans="7:7" ht="12.75" customHeight="1">
      <c r="G466" s="1"/>
    </row>
    <row r="467" spans="7:7" ht="12.75" customHeight="1">
      <c r="G467" s="1"/>
    </row>
    <row r="468" spans="7:7" ht="12.75" customHeight="1">
      <c r="G468" s="1"/>
    </row>
    <row r="469" spans="7:7" ht="12.75" customHeight="1">
      <c r="G469" s="1"/>
    </row>
    <row r="470" spans="7:7" ht="12.75" customHeight="1">
      <c r="G470" s="1"/>
    </row>
    <row r="471" spans="7:7" ht="12.75" customHeight="1">
      <c r="G471" s="1"/>
    </row>
    <row r="472" spans="7:7" ht="12.75" customHeight="1">
      <c r="G472" s="1"/>
    </row>
    <row r="473" spans="7:7" ht="12.75" customHeight="1">
      <c r="G473" s="1"/>
    </row>
    <row r="474" spans="7:7" ht="12.75" customHeight="1">
      <c r="G474" s="1"/>
    </row>
    <row r="475" spans="7:7" ht="12.75" customHeight="1">
      <c r="G475" s="1"/>
    </row>
    <row r="476" spans="7:7" ht="12.75" customHeight="1">
      <c r="G476" s="1"/>
    </row>
    <row r="477" spans="7:7" ht="12.75" customHeight="1">
      <c r="G477" s="1"/>
    </row>
    <row r="478" spans="7:7" ht="12.75" customHeight="1">
      <c r="G478" s="1"/>
    </row>
    <row r="479" spans="7:7" ht="12.75" customHeight="1">
      <c r="G479" s="1"/>
    </row>
    <row r="480" spans="7:7" ht="12.75" customHeight="1">
      <c r="G480" s="1"/>
    </row>
    <row r="481" spans="7:7" ht="12.75" customHeight="1">
      <c r="G481" s="1"/>
    </row>
    <row r="482" spans="7:7" ht="12.75" customHeight="1">
      <c r="G482" s="1"/>
    </row>
    <row r="483" spans="7:7" ht="12.75" customHeight="1">
      <c r="G483" s="1"/>
    </row>
    <row r="484" spans="7:7" ht="12.75" customHeight="1">
      <c r="G484" s="1"/>
    </row>
    <row r="485" spans="7:7" ht="12.75" customHeight="1">
      <c r="G485" s="1"/>
    </row>
    <row r="486" spans="7:7" ht="12.75" customHeight="1">
      <c r="G486" s="1"/>
    </row>
    <row r="487" spans="7:7" ht="12.75" customHeight="1">
      <c r="G487" s="1"/>
    </row>
    <row r="488" spans="7:7" ht="12.75" customHeight="1">
      <c r="G488" s="1"/>
    </row>
    <row r="489" spans="7:7" ht="12.75" customHeight="1">
      <c r="G489" s="1"/>
    </row>
    <row r="490" spans="7:7" ht="12.75" customHeight="1">
      <c r="G490" s="1"/>
    </row>
    <row r="491" spans="7:7" ht="12.75" customHeight="1">
      <c r="G491" s="1"/>
    </row>
    <row r="492" spans="7:7" ht="12.75" customHeight="1">
      <c r="G492" s="1"/>
    </row>
    <row r="493" spans="7:7" ht="12.75" customHeight="1">
      <c r="G493" s="1"/>
    </row>
    <row r="494" spans="7:7" ht="12.75" customHeight="1">
      <c r="G494" s="1"/>
    </row>
    <row r="495" spans="7:7" ht="12.75" customHeight="1">
      <c r="G495" s="1"/>
    </row>
    <row r="496" spans="7:7" ht="12.75" customHeight="1">
      <c r="G496" s="1"/>
    </row>
    <row r="497" spans="7:7" ht="12.75" customHeight="1">
      <c r="G497" s="1"/>
    </row>
    <row r="498" spans="7:7" ht="12.75" customHeight="1">
      <c r="G498" s="1"/>
    </row>
    <row r="499" spans="7:7" ht="12.75" customHeight="1">
      <c r="G499" s="1"/>
    </row>
    <row r="500" spans="7:7" ht="12.75" customHeight="1">
      <c r="G500" s="1"/>
    </row>
    <row r="501" spans="7:7" ht="12.75" customHeight="1">
      <c r="G501" s="1"/>
    </row>
    <row r="502" spans="7:7" ht="12.75" customHeight="1">
      <c r="G502" s="1"/>
    </row>
    <row r="503" spans="7:7" ht="12.75" customHeight="1">
      <c r="G503" s="1"/>
    </row>
    <row r="504" spans="7:7" ht="12.75" customHeight="1">
      <c r="G504" s="1"/>
    </row>
    <row r="505" spans="7:7" ht="12.75" customHeight="1">
      <c r="G505" s="1"/>
    </row>
    <row r="506" spans="7:7" ht="12.75" customHeight="1">
      <c r="G506" s="1"/>
    </row>
    <row r="507" spans="7:7" ht="12.75" customHeight="1">
      <c r="G507" s="1"/>
    </row>
    <row r="508" spans="7:7" ht="12.75" customHeight="1">
      <c r="G508" s="1"/>
    </row>
    <row r="509" spans="7:7" ht="12.75" customHeight="1">
      <c r="G509" s="1"/>
    </row>
    <row r="510" spans="7:7" ht="12.75" customHeight="1">
      <c r="G510" s="1"/>
    </row>
    <row r="511" spans="7:7" ht="12.75" customHeight="1">
      <c r="G511" s="1"/>
    </row>
    <row r="512" spans="7:7" ht="12.75" customHeight="1">
      <c r="G512" s="1"/>
    </row>
    <row r="513" spans="7:7" ht="12.75" customHeight="1">
      <c r="G513" s="1"/>
    </row>
    <row r="514" spans="7:7" ht="12.75" customHeight="1">
      <c r="G514" s="1"/>
    </row>
    <row r="515" spans="7:7" ht="12.75" customHeight="1">
      <c r="G515" s="1"/>
    </row>
    <row r="516" spans="7:7" ht="12.75" customHeight="1">
      <c r="G516" s="1"/>
    </row>
    <row r="517" spans="7:7" ht="12.75" customHeight="1">
      <c r="G517" s="1"/>
    </row>
    <row r="518" spans="7:7" ht="12.75" customHeight="1">
      <c r="G518" s="1"/>
    </row>
    <row r="519" spans="7:7" ht="12.75" customHeight="1">
      <c r="G519" s="1"/>
    </row>
    <row r="520" spans="7:7" ht="12.75" customHeight="1">
      <c r="G520" s="1"/>
    </row>
    <row r="521" spans="7:7" ht="12.75" customHeight="1">
      <c r="G521" s="1"/>
    </row>
    <row r="522" spans="7:7" ht="12.75" customHeight="1">
      <c r="G522" s="1"/>
    </row>
    <row r="523" spans="7:7" ht="12.75" customHeight="1">
      <c r="G523" s="1"/>
    </row>
    <row r="524" spans="7:7" ht="12.75" customHeight="1">
      <c r="G524" s="1"/>
    </row>
    <row r="525" spans="7:7" ht="12.75" customHeight="1">
      <c r="G525" s="1"/>
    </row>
    <row r="526" spans="7:7" ht="12.75" customHeight="1">
      <c r="G526" s="1"/>
    </row>
    <row r="527" spans="7:7" ht="12.75" customHeight="1">
      <c r="G527" s="1"/>
    </row>
    <row r="528" spans="7:7" ht="12.75" customHeight="1">
      <c r="G528" s="1"/>
    </row>
    <row r="529" spans="7:7" ht="12.75" customHeight="1">
      <c r="G529" s="1"/>
    </row>
    <row r="530" spans="7:7" ht="12.75" customHeight="1">
      <c r="G530" s="1"/>
    </row>
    <row r="531" spans="7:7" ht="12.75" customHeight="1">
      <c r="G531" s="1"/>
    </row>
    <row r="532" spans="7:7" ht="12.75" customHeight="1">
      <c r="G532" s="1"/>
    </row>
    <row r="533" spans="7:7" ht="12.75" customHeight="1">
      <c r="G533" s="1"/>
    </row>
    <row r="534" spans="7:7" ht="12.75" customHeight="1">
      <c r="G534" s="1"/>
    </row>
    <row r="535" spans="7:7" ht="12.75" customHeight="1">
      <c r="G535" s="1"/>
    </row>
    <row r="536" spans="7:7" ht="12.75" customHeight="1">
      <c r="G536" s="1"/>
    </row>
    <row r="537" spans="7:7" ht="12.75" customHeight="1">
      <c r="G537" s="1"/>
    </row>
    <row r="538" spans="7:7" ht="12.75" customHeight="1">
      <c r="G538" s="1"/>
    </row>
    <row r="539" spans="7:7" ht="12.75" customHeight="1">
      <c r="G539" s="1"/>
    </row>
    <row r="540" spans="7:7" ht="12.75" customHeight="1">
      <c r="G540" s="1"/>
    </row>
    <row r="541" spans="7:7" ht="12.75" customHeight="1">
      <c r="G541" s="1"/>
    </row>
    <row r="542" spans="7:7" ht="12.75" customHeight="1">
      <c r="G542" s="1"/>
    </row>
    <row r="543" spans="7:7" ht="12.75" customHeight="1">
      <c r="G543" s="1"/>
    </row>
    <row r="544" spans="7:7" ht="12.75" customHeight="1">
      <c r="G544" s="1"/>
    </row>
    <row r="545" spans="7:7" ht="12.75" customHeight="1">
      <c r="G545" s="1"/>
    </row>
    <row r="546" spans="7:7" ht="12.75" customHeight="1">
      <c r="G546" s="1"/>
    </row>
    <row r="547" spans="7:7" ht="12.75" customHeight="1">
      <c r="G547" s="1"/>
    </row>
    <row r="548" spans="7:7" ht="12.75" customHeight="1">
      <c r="G548" s="1"/>
    </row>
    <row r="549" spans="7:7" ht="12.75" customHeight="1">
      <c r="G549" s="1"/>
    </row>
    <row r="550" spans="7:7" ht="12.75" customHeight="1">
      <c r="G550" s="1"/>
    </row>
    <row r="551" spans="7:7" ht="12.75" customHeight="1">
      <c r="G551" s="1"/>
    </row>
    <row r="552" spans="7:7" ht="12.75" customHeight="1">
      <c r="G552" s="1"/>
    </row>
    <row r="553" spans="7:7" ht="12.75" customHeight="1">
      <c r="G553" s="1"/>
    </row>
    <row r="554" spans="7:7" ht="12.75" customHeight="1">
      <c r="G554" s="1"/>
    </row>
    <row r="555" spans="7:7" ht="12.75" customHeight="1">
      <c r="G555" s="1"/>
    </row>
    <row r="556" spans="7:7" ht="12.75" customHeight="1">
      <c r="G556" s="1"/>
    </row>
    <row r="557" spans="7:7" ht="12.75" customHeight="1">
      <c r="G557" s="1"/>
    </row>
    <row r="558" spans="7:7" ht="12.75" customHeight="1">
      <c r="G558" s="1"/>
    </row>
    <row r="559" spans="7:7" ht="12.75" customHeight="1">
      <c r="G559" s="1"/>
    </row>
    <row r="560" spans="7:7" ht="12.75" customHeight="1">
      <c r="G560" s="1"/>
    </row>
    <row r="561" spans="7:7" ht="12.75" customHeight="1">
      <c r="G561" s="1"/>
    </row>
    <row r="562" spans="7:7" ht="12.75" customHeight="1">
      <c r="G562" s="1"/>
    </row>
    <row r="563" spans="7:7" ht="12.75" customHeight="1">
      <c r="G563" s="1"/>
    </row>
    <row r="564" spans="7:7" ht="12.75" customHeight="1">
      <c r="G564" s="1"/>
    </row>
    <row r="565" spans="7:7" ht="12.75" customHeight="1">
      <c r="G565" s="1"/>
    </row>
    <row r="566" spans="7:7" ht="12.75" customHeight="1">
      <c r="G566" s="1"/>
    </row>
    <row r="567" spans="7:7" ht="12.75" customHeight="1">
      <c r="G567" s="1"/>
    </row>
    <row r="568" spans="7:7" ht="12.75" customHeight="1">
      <c r="G568" s="1"/>
    </row>
    <row r="569" spans="7:7" ht="12.75" customHeight="1">
      <c r="G569" s="1"/>
    </row>
    <row r="570" spans="7:7" ht="12.75" customHeight="1">
      <c r="G570" s="1"/>
    </row>
    <row r="571" spans="7:7" ht="12.75" customHeight="1">
      <c r="G571" s="1"/>
    </row>
    <row r="572" spans="7:7" ht="12.75" customHeight="1">
      <c r="G572" s="1"/>
    </row>
    <row r="573" spans="7:7" ht="12.75" customHeight="1">
      <c r="G573" s="1"/>
    </row>
    <row r="574" spans="7:7" ht="12.75" customHeight="1">
      <c r="G574" s="1"/>
    </row>
    <row r="575" spans="7:7" ht="12.75" customHeight="1">
      <c r="G575" s="1"/>
    </row>
    <row r="576" spans="7:7" ht="12.75" customHeight="1">
      <c r="G576" s="1"/>
    </row>
    <row r="577" spans="7:7" ht="12.75" customHeight="1">
      <c r="G577" s="1"/>
    </row>
    <row r="578" spans="7:7" ht="12.75" customHeight="1">
      <c r="G578" s="1"/>
    </row>
    <row r="579" spans="7:7" ht="12.75" customHeight="1">
      <c r="G579" s="1"/>
    </row>
    <row r="580" spans="7:7" ht="12.75" customHeight="1">
      <c r="G580" s="1"/>
    </row>
    <row r="581" spans="7:7" ht="12.75" customHeight="1">
      <c r="G581" s="1"/>
    </row>
    <row r="582" spans="7:7" ht="12.75" customHeight="1">
      <c r="G582" s="1"/>
    </row>
    <row r="583" spans="7:7" ht="12.75" customHeight="1">
      <c r="G583" s="1"/>
    </row>
    <row r="584" spans="7:7" ht="12.75" customHeight="1">
      <c r="G584" s="1"/>
    </row>
    <row r="585" spans="7:7" ht="12.75" customHeight="1">
      <c r="G585" s="1"/>
    </row>
    <row r="586" spans="7:7" ht="12.75" customHeight="1">
      <c r="G586" s="1"/>
    </row>
    <row r="587" spans="7:7" ht="12.75" customHeight="1">
      <c r="G587" s="1"/>
    </row>
    <row r="588" spans="7:7" ht="12.75" customHeight="1">
      <c r="G588" s="1"/>
    </row>
    <row r="589" spans="7:7" ht="12.75" customHeight="1">
      <c r="G589" s="1"/>
    </row>
    <row r="590" spans="7:7" ht="12.75" customHeight="1">
      <c r="G590" s="1"/>
    </row>
    <row r="591" spans="7:7" ht="12.75" customHeight="1">
      <c r="G591" s="1"/>
    </row>
    <row r="592" spans="7:7" ht="12.75" customHeight="1">
      <c r="G592" s="1"/>
    </row>
    <row r="593" spans="7:7" ht="12.75" customHeight="1">
      <c r="G593" s="1"/>
    </row>
    <row r="594" spans="7:7" ht="12.75" customHeight="1">
      <c r="G594" s="1"/>
    </row>
    <row r="595" spans="7:7" ht="12.75" customHeight="1">
      <c r="G595" s="1"/>
    </row>
    <row r="596" spans="7:7" ht="12.75" customHeight="1">
      <c r="G596" s="1"/>
    </row>
    <row r="597" spans="7:7" ht="12.75" customHeight="1">
      <c r="G597" s="1"/>
    </row>
    <row r="598" spans="7:7" ht="12.75" customHeight="1">
      <c r="G598" s="1"/>
    </row>
    <row r="599" spans="7:7" ht="12.75" customHeight="1">
      <c r="G599" s="1"/>
    </row>
    <row r="600" spans="7:7" ht="12.75" customHeight="1">
      <c r="G600" s="1"/>
    </row>
    <row r="601" spans="7:7" ht="12.75" customHeight="1">
      <c r="G601" s="1"/>
    </row>
    <row r="602" spans="7:7" ht="12.75" customHeight="1">
      <c r="G602" s="1"/>
    </row>
    <row r="603" spans="7:7" ht="12.75" customHeight="1">
      <c r="G603" s="1"/>
    </row>
    <row r="604" spans="7:7" ht="12.75" customHeight="1">
      <c r="G604" s="1"/>
    </row>
    <row r="605" spans="7:7" ht="12.75" customHeight="1">
      <c r="G605" s="1"/>
    </row>
    <row r="606" spans="7:7" ht="12.75" customHeight="1">
      <c r="G606" s="1"/>
    </row>
    <row r="607" spans="7:7" ht="12.75" customHeight="1">
      <c r="G607" s="1"/>
    </row>
    <row r="608" spans="7:7" ht="12.75" customHeight="1">
      <c r="G608" s="1"/>
    </row>
    <row r="609" spans="7:7" ht="12.75" customHeight="1">
      <c r="G609" s="1"/>
    </row>
    <row r="610" spans="7:7" ht="12.75" customHeight="1">
      <c r="G610" s="1"/>
    </row>
    <row r="611" spans="7:7" ht="12.75" customHeight="1">
      <c r="G611" s="1"/>
    </row>
    <row r="612" spans="7:7" ht="12.75" customHeight="1">
      <c r="G612" s="1"/>
    </row>
    <row r="613" spans="7:7" ht="12.75" customHeight="1">
      <c r="G613" s="1"/>
    </row>
    <row r="614" spans="7:7" ht="12.75" customHeight="1">
      <c r="G614" s="1"/>
    </row>
    <row r="615" spans="7:7" ht="12.75" customHeight="1">
      <c r="G615" s="1"/>
    </row>
    <row r="616" spans="7:7" ht="12.75" customHeight="1">
      <c r="G616" s="1"/>
    </row>
    <row r="617" spans="7:7" ht="12.75" customHeight="1">
      <c r="G617" s="1"/>
    </row>
    <row r="618" spans="7:7" ht="12.75" customHeight="1">
      <c r="G618" s="1"/>
    </row>
    <row r="619" spans="7:7" ht="12.75" customHeight="1">
      <c r="G619" s="1"/>
    </row>
    <row r="620" spans="7:7" ht="12.75" customHeight="1">
      <c r="G620" s="1"/>
    </row>
    <row r="621" spans="7:7" ht="12.75" customHeight="1">
      <c r="G621" s="1"/>
    </row>
    <row r="622" spans="7:7" ht="12.75" customHeight="1">
      <c r="G622" s="1"/>
    </row>
    <row r="623" spans="7:7" ht="12.75" customHeight="1">
      <c r="G623" s="1"/>
    </row>
    <row r="624" spans="7:7" ht="12.75" customHeight="1">
      <c r="G624" s="1"/>
    </row>
    <row r="625" spans="7:7" ht="12.75" customHeight="1">
      <c r="G625" s="1"/>
    </row>
    <row r="626" spans="7:7" ht="12.75" customHeight="1">
      <c r="G626" s="1"/>
    </row>
    <row r="627" spans="7:7" ht="12.75" customHeight="1">
      <c r="G627" s="1"/>
    </row>
    <row r="628" spans="7:7" ht="12.75" customHeight="1">
      <c r="G628" s="1"/>
    </row>
    <row r="629" spans="7:7" ht="12.75" customHeight="1">
      <c r="G629" s="1"/>
    </row>
    <row r="630" spans="7:7" ht="12.75" customHeight="1">
      <c r="G630" s="1"/>
    </row>
    <row r="631" spans="7:7" ht="12.75" customHeight="1">
      <c r="G631" s="1"/>
    </row>
    <row r="632" spans="7:7" ht="12.75" customHeight="1">
      <c r="G632" s="1"/>
    </row>
    <row r="633" spans="7:7" ht="12.75" customHeight="1">
      <c r="G633" s="1"/>
    </row>
    <row r="634" spans="7:7" ht="12.75" customHeight="1">
      <c r="G634" s="1"/>
    </row>
    <row r="635" spans="7:7" ht="12.75" customHeight="1">
      <c r="G635" s="1"/>
    </row>
    <row r="636" spans="7:7" ht="12.75" customHeight="1">
      <c r="G636" s="1"/>
    </row>
    <row r="637" spans="7:7" ht="12.75" customHeight="1">
      <c r="G637" s="1"/>
    </row>
    <row r="638" spans="7:7" ht="12.75" customHeight="1">
      <c r="G638" s="1"/>
    </row>
    <row r="639" spans="7:7" ht="12.75" customHeight="1">
      <c r="G639" s="1"/>
    </row>
    <row r="640" spans="7:7" ht="12.75" customHeight="1">
      <c r="G640" s="1"/>
    </row>
    <row r="641" spans="7:7" ht="12.75" customHeight="1">
      <c r="G641" s="1"/>
    </row>
    <row r="642" spans="7:7" ht="12.75" customHeight="1">
      <c r="G642" s="1"/>
    </row>
    <row r="643" spans="7:7" ht="12.75" customHeight="1">
      <c r="G643" s="1"/>
    </row>
    <row r="644" spans="7:7" ht="12.75" customHeight="1">
      <c r="G644" s="1"/>
    </row>
    <row r="645" spans="7:7" ht="12.75" customHeight="1">
      <c r="G645" s="1"/>
    </row>
    <row r="646" spans="7:7" ht="12.75" customHeight="1">
      <c r="G646" s="1"/>
    </row>
    <row r="647" spans="7:7" ht="12.75" customHeight="1">
      <c r="G647" s="1"/>
    </row>
    <row r="648" spans="7:7" ht="12.75" customHeight="1">
      <c r="G648" s="1"/>
    </row>
    <row r="649" spans="7:7" ht="12.75" customHeight="1">
      <c r="G649" s="1"/>
    </row>
    <row r="650" spans="7:7" ht="12.75" customHeight="1">
      <c r="G650" s="1"/>
    </row>
    <row r="651" spans="7:7" ht="12.75" customHeight="1">
      <c r="G651" s="1"/>
    </row>
    <row r="652" spans="7:7" ht="12.75" customHeight="1">
      <c r="G652" s="1"/>
    </row>
    <row r="653" spans="7:7" ht="12.75" customHeight="1">
      <c r="G653" s="1"/>
    </row>
    <row r="654" spans="7:7" ht="12.75" customHeight="1">
      <c r="G654" s="1"/>
    </row>
    <row r="655" spans="7:7" ht="12.75" customHeight="1">
      <c r="G655" s="1"/>
    </row>
    <row r="656" spans="7:7" ht="12.75" customHeight="1">
      <c r="G656" s="1"/>
    </row>
    <row r="657" spans="7:7" ht="12.75" customHeight="1">
      <c r="G657" s="1"/>
    </row>
    <row r="658" spans="7:7" ht="12.75" customHeight="1">
      <c r="G658" s="1"/>
    </row>
    <row r="659" spans="7:7" ht="12.75" customHeight="1">
      <c r="G659" s="1"/>
    </row>
    <row r="660" spans="7:7" ht="12.75" customHeight="1">
      <c r="G660" s="1"/>
    </row>
    <row r="661" spans="7:7" ht="12.75" customHeight="1">
      <c r="G661" s="1"/>
    </row>
    <row r="662" spans="7:7" ht="12.75" customHeight="1">
      <c r="G662" s="1"/>
    </row>
    <row r="663" spans="7:7" ht="12.75" customHeight="1">
      <c r="G663" s="1"/>
    </row>
    <row r="664" spans="7:7" ht="12.75" customHeight="1">
      <c r="G664" s="1"/>
    </row>
    <row r="665" spans="7:7" ht="12.75" customHeight="1">
      <c r="G665" s="1"/>
    </row>
    <row r="666" spans="7:7" ht="12.75" customHeight="1">
      <c r="G666" s="1"/>
    </row>
    <row r="667" spans="7:7" ht="12.75" customHeight="1">
      <c r="G667" s="1"/>
    </row>
    <row r="668" spans="7:7" ht="12.75" customHeight="1">
      <c r="G668" s="1"/>
    </row>
    <row r="669" spans="7:7" ht="12.75" customHeight="1">
      <c r="G669" s="1"/>
    </row>
    <row r="670" spans="7:7" ht="12.75" customHeight="1">
      <c r="G670" s="1"/>
    </row>
    <row r="671" spans="7:7" ht="12.75" customHeight="1">
      <c r="G671" s="1"/>
    </row>
    <row r="672" spans="7:7" ht="12.75" customHeight="1">
      <c r="G672" s="1"/>
    </row>
    <row r="673" spans="7:7" ht="12.75" customHeight="1">
      <c r="G673" s="1"/>
    </row>
    <row r="674" spans="7:7" ht="12.75" customHeight="1">
      <c r="G674" s="1"/>
    </row>
    <row r="675" spans="7:7" ht="12.75" customHeight="1">
      <c r="G675" s="1"/>
    </row>
    <row r="676" spans="7:7" ht="12.75" customHeight="1">
      <c r="G676" s="1"/>
    </row>
    <row r="677" spans="7:7" ht="12.75" customHeight="1">
      <c r="G677" s="1"/>
    </row>
    <row r="678" spans="7:7" ht="12.75" customHeight="1">
      <c r="G678" s="1"/>
    </row>
    <row r="679" spans="7:7" ht="12.75" customHeight="1">
      <c r="G679" s="1"/>
    </row>
    <row r="680" spans="7:7" ht="12.75" customHeight="1">
      <c r="G680" s="1"/>
    </row>
    <row r="681" spans="7:7" ht="12.75" customHeight="1">
      <c r="G681" s="1"/>
    </row>
    <row r="682" spans="7:7" ht="12.75" customHeight="1">
      <c r="G682" s="1"/>
    </row>
    <row r="683" spans="7:7" ht="12.75" customHeight="1">
      <c r="G683" s="1"/>
    </row>
    <row r="684" spans="7:7" ht="12.75" customHeight="1">
      <c r="G684" s="1"/>
    </row>
    <row r="685" spans="7:7" ht="12.75" customHeight="1">
      <c r="G685" s="1"/>
    </row>
    <row r="686" spans="7:7" ht="12.75" customHeight="1">
      <c r="G686" s="1"/>
    </row>
    <row r="687" spans="7:7" ht="12.75" customHeight="1">
      <c r="G687" s="1"/>
    </row>
    <row r="688" spans="7:7" ht="12.75" customHeight="1">
      <c r="G688" s="1"/>
    </row>
    <row r="689" spans="7:7" ht="12.75" customHeight="1">
      <c r="G689" s="1"/>
    </row>
    <row r="690" spans="7:7" ht="12.75" customHeight="1">
      <c r="G690" s="1"/>
    </row>
    <row r="691" spans="7:7" ht="12.75" customHeight="1">
      <c r="G691" s="1"/>
    </row>
    <row r="692" spans="7:7" ht="12.75" customHeight="1">
      <c r="G692" s="1"/>
    </row>
    <row r="693" spans="7:7" ht="12.75" customHeight="1">
      <c r="G693" s="1"/>
    </row>
    <row r="694" spans="7:7" ht="12.75" customHeight="1">
      <c r="G694" s="1"/>
    </row>
    <row r="695" spans="7:7" ht="12.75" customHeight="1">
      <c r="G695" s="1"/>
    </row>
    <row r="696" spans="7:7" ht="12.75" customHeight="1">
      <c r="G696" s="1"/>
    </row>
    <row r="697" spans="7:7" ht="12.75" customHeight="1">
      <c r="G697" s="1"/>
    </row>
    <row r="698" spans="7:7" ht="12.75" customHeight="1">
      <c r="G698" s="1"/>
    </row>
    <row r="699" spans="7:7" ht="12.75" customHeight="1">
      <c r="G699" s="1"/>
    </row>
    <row r="700" spans="7:7" ht="12.75" customHeight="1">
      <c r="G700" s="1"/>
    </row>
    <row r="701" spans="7:7" ht="12.75" customHeight="1">
      <c r="G701" s="1"/>
    </row>
    <row r="702" spans="7:7" ht="12.75" customHeight="1">
      <c r="G702" s="1"/>
    </row>
    <row r="703" spans="7:7" ht="12.75" customHeight="1">
      <c r="G703" s="1"/>
    </row>
    <row r="704" spans="7:7" ht="12.75" customHeight="1">
      <c r="G704" s="1"/>
    </row>
    <row r="705" spans="7:7" ht="12.75" customHeight="1">
      <c r="G705" s="1"/>
    </row>
    <row r="706" spans="7:7" ht="12.75" customHeight="1">
      <c r="G706" s="1"/>
    </row>
    <row r="707" spans="7:7" ht="12.75" customHeight="1">
      <c r="G707" s="1"/>
    </row>
    <row r="708" spans="7:7" ht="12.75" customHeight="1">
      <c r="G708" s="1"/>
    </row>
    <row r="709" spans="7:7" ht="12.75" customHeight="1">
      <c r="G709" s="1"/>
    </row>
    <row r="710" spans="7:7" ht="12.75" customHeight="1">
      <c r="G710" s="1"/>
    </row>
    <row r="711" spans="7:7" ht="12.75" customHeight="1">
      <c r="G711" s="1"/>
    </row>
    <row r="712" spans="7:7" ht="12.75" customHeight="1">
      <c r="G712" s="1"/>
    </row>
    <row r="713" spans="7:7" ht="12.75" customHeight="1">
      <c r="G713" s="1"/>
    </row>
    <row r="714" spans="7:7" ht="12.75" customHeight="1">
      <c r="G714" s="1"/>
    </row>
    <row r="715" spans="7:7" ht="12.75" customHeight="1">
      <c r="G715" s="1"/>
    </row>
    <row r="716" spans="7:7" ht="12.75" customHeight="1">
      <c r="G716" s="1"/>
    </row>
    <row r="717" spans="7:7" ht="12.75" customHeight="1">
      <c r="G717" s="1"/>
    </row>
    <row r="718" spans="7:7" ht="12.75" customHeight="1">
      <c r="G718" s="1"/>
    </row>
    <row r="719" spans="7:7" ht="12.75" customHeight="1">
      <c r="G719" s="1"/>
    </row>
    <row r="720" spans="7:7" ht="12.75" customHeight="1">
      <c r="G720" s="1"/>
    </row>
    <row r="721" spans="7:7" ht="12.75" customHeight="1">
      <c r="G721" s="1"/>
    </row>
    <row r="722" spans="7:7" ht="12.75" customHeight="1">
      <c r="G722" s="1"/>
    </row>
    <row r="723" spans="7:7" ht="12.75" customHeight="1">
      <c r="G723" s="1"/>
    </row>
    <row r="724" spans="7:7" ht="12.75" customHeight="1">
      <c r="G724" s="1"/>
    </row>
    <row r="725" spans="7:7" ht="12.75" customHeight="1">
      <c r="G725" s="1"/>
    </row>
    <row r="726" spans="7:7" ht="12.75" customHeight="1">
      <c r="G726" s="1"/>
    </row>
    <row r="727" spans="7:7" ht="12.75" customHeight="1">
      <c r="G727" s="1"/>
    </row>
    <row r="728" spans="7:7" ht="12.75" customHeight="1">
      <c r="G728" s="1"/>
    </row>
    <row r="729" spans="7:7" ht="12.75" customHeight="1">
      <c r="G729" s="1"/>
    </row>
    <row r="730" spans="7:7" ht="12.75" customHeight="1">
      <c r="G730" s="1"/>
    </row>
    <row r="731" spans="7:7" ht="12.75" customHeight="1">
      <c r="G731" s="1"/>
    </row>
    <row r="732" spans="7:7" ht="12.75" customHeight="1">
      <c r="G732" s="1"/>
    </row>
    <row r="733" spans="7:7" ht="12.75" customHeight="1">
      <c r="G733" s="1"/>
    </row>
    <row r="734" spans="7:7" ht="12.75" customHeight="1">
      <c r="G734" s="1"/>
    </row>
    <row r="735" spans="7:7" ht="12.75" customHeight="1">
      <c r="G735" s="1"/>
    </row>
    <row r="736" spans="7:7" ht="12.75" customHeight="1">
      <c r="G736" s="1"/>
    </row>
    <row r="737" spans="7:7" ht="12.75" customHeight="1">
      <c r="G737" s="1"/>
    </row>
    <row r="738" spans="7:7" ht="12.75" customHeight="1">
      <c r="G738" s="1"/>
    </row>
    <row r="739" spans="7:7" ht="12.75" customHeight="1">
      <c r="G739" s="1"/>
    </row>
    <row r="740" spans="7:7" ht="12.75" customHeight="1">
      <c r="G740" s="1"/>
    </row>
    <row r="741" spans="7:7" ht="12.75" customHeight="1">
      <c r="G741" s="1"/>
    </row>
    <row r="742" spans="7:7" ht="12.75" customHeight="1">
      <c r="G742" s="1"/>
    </row>
    <row r="743" spans="7:7" ht="12.75" customHeight="1">
      <c r="G743" s="1"/>
    </row>
    <row r="744" spans="7:7" ht="12.75" customHeight="1">
      <c r="G744" s="1"/>
    </row>
    <row r="745" spans="7:7" ht="12.75" customHeight="1">
      <c r="G745" s="1"/>
    </row>
    <row r="746" spans="7:7" ht="12.75" customHeight="1">
      <c r="G746" s="1"/>
    </row>
    <row r="747" spans="7:7" ht="12.75" customHeight="1">
      <c r="G747" s="1"/>
    </row>
    <row r="748" spans="7:7" ht="12.75" customHeight="1">
      <c r="G748" s="1"/>
    </row>
    <row r="749" spans="7:7" ht="12.75" customHeight="1">
      <c r="G749" s="1"/>
    </row>
    <row r="750" spans="7:7" ht="12.75" customHeight="1">
      <c r="G750" s="1"/>
    </row>
    <row r="751" spans="7:7" ht="12.75" customHeight="1">
      <c r="G751" s="1"/>
    </row>
    <row r="752" spans="7:7" ht="12.75" customHeight="1">
      <c r="G752" s="1"/>
    </row>
    <row r="753" spans="7:7" ht="12.75" customHeight="1">
      <c r="G753" s="1"/>
    </row>
    <row r="754" spans="7:7" ht="12.75" customHeight="1">
      <c r="G754" s="1"/>
    </row>
    <row r="755" spans="7:7" ht="12.75" customHeight="1">
      <c r="G755" s="1"/>
    </row>
    <row r="756" spans="7:7" ht="12.75" customHeight="1">
      <c r="G756" s="1"/>
    </row>
    <row r="757" spans="7:7" ht="12.75" customHeight="1">
      <c r="G757" s="1"/>
    </row>
    <row r="758" spans="7:7" ht="12.75" customHeight="1">
      <c r="G758" s="1"/>
    </row>
    <row r="759" spans="7:7" ht="12.75" customHeight="1">
      <c r="G759" s="1"/>
    </row>
    <row r="760" spans="7:7" ht="12.75" customHeight="1">
      <c r="G760" s="1"/>
    </row>
    <row r="761" spans="7:7" ht="12.75" customHeight="1">
      <c r="G761" s="1"/>
    </row>
    <row r="762" spans="7:7" ht="12.75" customHeight="1">
      <c r="G762" s="1"/>
    </row>
    <row r="763" spans="7:7" ht="12.75" customHeight="1">
      <c r="G763" s="1"/>
    </row>
    <row r="764" spans="7:7" ht="12.75" customHeight="1">
      <c r="G764" s="1"/>
    </row>
    <row r="765" spans="7:7" ht="12.75" customHeight="1">
      <c r="G765" s="1"/>
    </row>
    <row r="766" spans="7:7" ht="12.75" customHeight="1">
      <c r="G766" s="1"/>
    </row>
    <row r="767" spans="7:7" ht="12.75" customHeight="1">
      <c r="G767" s="1"/>
    </row>
    <row r="768" spans="7:7" ht="12.75" customHeight="1">
      <c r="G768" s="1"/>
    </row>
    <row r="769" spans="7:7" ht="12.75" customHeight="1">
      <c r="G769" s="1"/>
    </row>
    <row r="770" spans="7:7" ht="12.75" customHeight="1">
      <c r="G770" s="1"/>
    </row>
    <row r="771" spans="7:7" ht="12.75" customHeight="1">
      <c r="G771" s="1"/>
    </row>
    <row r="772" spans="7:7" ht="12.75" customHeight="1">
      <c r="G772" s="1"/>
    </row>
    <row r="773" spans="7:7" ht="12.75" customHeight="1">
      <c r="G773" s="1"/>
    </row>
    <row r="774" spans="7:7" ht="12.75" customHeight="1">
      <c r="G774" s="1"/>
    </row>
    <row r="775" spans="7:7" ht="12.75" customHeight="1">
      <c r="G775" s="1"/>
    </row>
    <row r="776" spans="7:7" ht="12.75" customHeight="1">
      <c r="G776" s="1"/>
    </row>
    <row r="777" spans="7:7" ht="12.75" customHeight="1">
      <c r="G777" s="1"/>
    </row>
    <row r="778" spans="7:7" ht="12.75" customHeight="1">
      <c r="G778" s="1"/>
    </row>
    <row r="779" spans="7:7" ht="12.75" customHeight="1">
      <c r="G779" s="1"/>
    </row>
    <row r="780" spans="7:7" ht="12.75" customHeight="1">
      <c r="G780" s="1"/>
    </row>
    <row r="781" spans="7:7" ht="12.75" customHeight="1">
      <c r="G781" s="1"/>
    </row>
    <row r="782" spans="7:7" ht="12.75" customHeight="1">
      <c r="G782" s="1"/>
    </row>
    <row r="783" spans="7:7" ht="12.75" customHeight="1">
      <c r="G783" s="1"/>
    </row>
    <row r="784" spans="7:7" ht="12.75" customHeight="1">
      <c r="G784" s="1"/>
    </row>
    <row r="785" spans="7:7" ht="12.75" customHeight="1">
      <c r="G785" s="1"/>
    </row>
    <row r="786" spans="7:7" ht="12.75" customHeight="1">
      <c r="G786" s="1"/>
    </row>
    <row r="787" spans="7:7" ht="12.75" customHeight="1">
      <c r="G787" s="1"/>
    </row>
    <row r="788" spans="7:7" ht="12.75" customHeight="1">
      <c r="G788" s="1"/>
    </row>
    <row r="789" spans="7:7" ht="12.75" customHeight="1">
      <c r="G789" s="1"/>
    </row>
    <row r="790" spans="7:7" ht="12.75" customHeight="1">
      <c r="G790" s="1"/>
    </row>
    <row r="791" spans="7:7" ht="12.75" customHeight="1">
      <c r="G791" s="1"/>
    </row>
    <row r="792" spans="7:7" ht="12.75" customHeight="1">
      <c r="G792" s="1"/>
    </row>
    <row r="793" spans="7:7" ht="12.75" customHeight="1">
      <c r="G793" s="1"/>
    </row>
    <row r="794" spans="7:7" ht="12.75" customHeight="1">
      <c r="G794" s="1"/>
    </row>
    <row r="795" spans="7:7" ht="12.75" customHeight="1">
      <c r="G795" s="1"/>
    </row>
    <row r="796" spans="7:7" ht="12.75" customHeight="1">
      <c r="G796" s="1"/>
    </row>
    <row r="797" spans="7:7" ht="12.75" customHeight="1">
      <c r="G797" s="1"/>
    </row>
    <row r="798" spans="7:7" ht="12.75" customHeight="1">
      <c r="G798" s="1"/>
    </row>
    <row r="799" spans="7:7" ht="12.75" customHeight="1">
      <c r="G799" s="1"/>
    </row>
    <row r="800" spans="7:7" ht="12.75" customHeight="1">
      <c r="G800" s="1"/>
    </row>
    <row r="801" spans="7:7" ht="12.75" customHeight="1">
      <c r="G801" s="1"/>
    </row>
    <row r="802" spans="7:7" ht="12.75" customHeight="1">
      <c r="G802" s="1"/>
    </row>
    <row r="803" spans="7:7" ht="12.75" customHeight="1">
      <c r="G803" s="1"/>
    </row>
    <row r="804" spans="7:7" ht="12.75" customHeight="1">
      <c r="G804" s="1"/>
    </row>
    <row r="805" spans="7:7" ht="12.75" customHeight="1">
      <c r="G805" s="1"/>
    </row>
    <row r="806" spans="7:7" ht="12.75" customHeight="1">
      <c r="G806" s="1"/>
    </row>
    <row r="807" spans="7:7" ht="12.75" customHeight="1">
      <c r="G807" s="1"/>
    </row>
    <row r="808" spans="7:7" ht="12.75" customHeight="1">
      <c r="G808" s="1"/>
    </row>
    <row r="809" spans="7:7" ht="12.75" customHeight="1">
      <c r="G809" s="1"/>
    </row>
    <row r="810" spans="7:7" ht="12.75" customHeight="1">
      <c r="G810" s="1"/>
    </row>
    <row r="811" spans="7:7" ht="12.75" customHeight="1">
      <c r="G811" s="1"/>
    </row>
    <row r="812" spans="7:7" ht="12.75" customHeight="1">
      <c r="G812" s="1"/>
    </row>
    <row r="813" spans="7:7" ht="12.75" customHeight="1">
      <c r="G813" s="1"/>
    </row>
    <row r="814" spans="7:7" ht="12.75" customHeight="1">
      <c r="G814" s="1"/>
    </row>
    <row r="815" spans="7:7" ht="12.75" customHeight="1">
      <c r="G815" s="1"/>
    </row>
    <row r="816" spans="7:7" ht="12.75" customHeight="1">
      <c r="G816" s="1"/>
    </row>
    <row r="817" spans="7:7" ht="12.75" customHeight="1">
      <c r="G817" s="1"/>
    </row>
    <row r="818" spans="7:7" ht="12.75" customHeight="1">
      <c r="G818" s="1"/>
    </row>
    <row r="819" spans="7:7" ht="12.75" customHeight="1">
      <c r="G819" s="1"/>
    </row>
    <row r="820" spans="7:7" ht="12.75" customHeight="1">
      <c r="G820" s="1"/>
    </row>
    <row r="821" spans="7:7" ht="12.75" customHeight="1">
      <c r="G821" s="1"/>
    </row>
    <row r="822" spans="7:7" ht="12.75" customHeight="1">
      <c r="G822" s="1"/>
    </row>
    <row r="823" spans="7:7" ht="12.75" customHeight="1">
      <c r="G823" s="1"/>
    </row>
    <row r="824" spans="7:7" ht="12.75" customHeight="1">
      <c r="G824" s="1"/>
    </row>
    <row r="825" spans="7:7" ht="12.75" customHeight="1">
      <c r="G825" s="1"/>
    </row>
    <row r="826" spans="7:7" ht="12.75" customHeight="1">
      <c r="G826" s="1"/>
    </row>
    <row r="827" spans="7:7" ht="12.75" customHeight="1">
      <c r="G827" s="1"/>
    </row>
    <row r="828" spans="7:7" ht="12.75" customHeight="1">
      <c r="G828" s="1"/>
    </row>
    <row r="829" spans="7:7" ht="12.75" customHeight="1">
      <c r="G829" s="1"/>
    </row>
    <row r="830" spans="7:7" ht="12.75" customHeight="1">
      <c r="G830" s="1"/>
    </row>
    <row r="831" spans="7:7" ht="12.75" customHeight="1">
      <c r="G831" s="1"/>
    </row>
    <row r="832" spans="7:7" ht="12.75" customHeight="1">
      <c r="G832" s="1"/>
    </row>
    <row r="833" spans="7:7" ht="12.75" customHeight="1">
      <c r="G833" s="1"/>
    </row>
    <row r="834" spans="7:7" ht="12.75" customHeight="1">
      <c r="G834" s="1"/>
    </row>
    <row r="835" spans="7:7" ht="12.75" customHeight="1">
      <c r="G835" s="1"/>
    </row>
    <row r="836" spans="7:7" ht="12.75" customHeight="1">
      <c r="G836" s="1"/>
    </row>
    <row r="837" spans="7:7" ht="12.75" customHeight="1">
      <c r="G837" s="1"/>
    </row>
    <row r="838" spans="7:7" ht="12.75" customHeight="1">
      <c r="G838" s="1"/>
    </row>
    <row r="839" spans="7:7" ht="12.75" customHeight="1">
      <c r="G839" s="1"/>
    </row>
    <row r="840" spans="7:7" ht="12.75" customHeight="1">
      <c r="G840" s="1"/>
    </row>
    <row r="841" spans="7:7" ht="12.75" customHeight="1">
      <c r="G841" s="1"/>
    </row>
    <row r="842" spans="7:7" ht="12.75" customHeight="1">
      <c r="G842" s="1"/>
    </row>
    <row r="843" spans="7:7" ht="12.75" customHeight="1">
      <c r="G843" s="1"/>
    </row>
    <row r="844" spans="7:7" ht="12.75" customHeight="1">
      <c r="G844" s="1"/>
    </row>
    <row r="845" spans="7:7" ht="12.75" customHeight="1">
      <c r="G845" s="1"/>
    </row>
    <row r="846" spans="7:7" ht="12.75" customHeight="1">
      <c r="G846" s="1"/>
    </row>
    <row r="847" spans="7:7" ht="12.75" customHeight="1">
      <c r="G847" s="1"/>
    </row>
    <row r="848" spans="7:7" ht="12.75" customHeight="1">
      <c r="G848" s="1"/>
    </row>
    <row r="849" spans="7:7" ht="12.75" customHeight="1">
      <c r="G849" s="1"/>
    </row>
    <row r="850" spans="7:7" ht="12.75" customHeight="1">
      <c r="G850" s="1"/>
    </row>
    <row r="851" spans="7:7" ht="12.75" customHeight="1">
      <c r="G851" s="1"/>
    </row>
    <row r="852" spans="7:7" ht="12.75" customHeight="1">
      <c r="G852" s="1"/>
    </row>
    <row r="853" spans="7:7" ht="12.75" customHeight="1">
      <c r="G853" s="1"/>
    </row>
    <row r="854" spans="7:7" ht="12.75" customHeight="1">
      <c r="G854" s="1"/>
    </row>
    <row r="855" spans="7:7" ht="12.75" customHeight="1">
      <c r="G855" s="1"/>
    </row>
    <row r="856" spans="7:7" ht="12.75" customHeight="1">
      <c r="G856" s="1"/>
    </row>
    <row r="857" spans="7:7" ht="12.75" customHeight="1">
      <c r="G857" s="1"/>
    </row>
    <row r="858" spans="7:7" ht="12.75" customHeight="1">
      <c r="G858" s="1"/>
    </row>
    <row r="859" spans="7:7" ht="12.75" customHeight="1">
      <c r="G859" s="1"/>
    </row>
    <row r="860" spans="7:7" ht="12.75" customHeight="1">
      <c r="G860" s="1"/>
    </row>
    <row r="861" spans="7:7" ht="12.75" customHeight="1">
      <c r="G861" s="1"/>
    </row>
    <row r="862" spans="7:7" ht="12.75" customHeight="1">
      <c r="G862" s="1"/>
    </row>
    <row r="863" spans="7:7" ht="12.75" customHeight="1">
      <c r="G863" s="1"/>
    </row>
    <row r="864" spans="7:7" ht="12.75" customHeight="1">
      <c r="G864" s="1"/>
    </row>
    <row r="865" spans="7:7" ht="12.75" customHeight="1">
      <c r="G865" s="1"/>
    </row>
    <row r="866" spans="7:7" ht="12.75" customHeight="1">
      <c r="G866" s="1"/>
    </row>
    <row r="867" spans="7:7" ht="12.75" customHeight="1">
      <c r="G867" s="1"/>
    </row>
    <row r="868" spans="7:7" ht="12.75" customHeight="1">
      <c r="G868" s="1"/>
    </row>
    <row r="869" spans="7:7" ht="12.75" customHeight="1">
      <c r="G869" s="1"/>
    </row>
    <row r="870" spans="7:7" ht="12.75" customHeight="1">
      <c r="G870" s="1"/>
    </row>
    <row r="871" spans="7:7" ht="12.75" customHeight="1">
      <c r="G871" s="1"/>
    </row>
    <row r="872" spans="7:7" ht="12.75" customHeight="1">
      <c r="G872" s="1"/>
    </row>
    <row r="873" spans="7:7" ht="12.75" customHeight="1">
      <c r="G873" s="1"/>
    </row>
    <row r="874" spans="7:7" ht="12.75" customHeight="1">
      <c r="G874" s="1"/>
    </row>
    <row r="875" spans="7:7" ht="12.75" customHeight="1">
      <c r="G875" s="1"/>
    </row>
    <row r="876" spans="7:7" ht="12.75" customHeight="1">
      <c r="G876" s="1"/>
    </row>
    <row r="877" spans="7:7" ht="12.75" customHeight="1">
      <c r="G877" s="1"/>
    </row>
    <row r="878" spans="7:7" ht="12.75" customHeight="1">
      <c r="G878" s="1"/>
    </row>
    <row r="879" spans="7:7" ht="12.75" customHeight="1">
      <c r="G879" s="1"/>
    </row>
    <row r="880" spans="7:7" ht="12.75" customHeight="1">
      <c r="G880" s="1"/>
    </row>
    <row r="881" spans="7:7" ht="12.75" customHeight="1">
      <c r="G881" s="1"/>
    </row>
    <row r="882" spans="7:7" ht="12.75" customHeight="1">
      <c r="G882" s="1"/>
    </row>
    <row r="883" spans="7:7" ht="12.75" customHeight="1">
      <c r="G883" s="1"/>
    </row>
    <row r="884" spans="7:7" ht="12.75" customHeight="1">
      <c r="G884" s="1"/>
    </row>
    <row r="885" spans="7:7" ht="12.75" customHeight="1">
      <c r="G885" s="1"/>
    </row>
    <row r="886" spans="7:7" ht="12.75" customHeight="1">
      <c r="G886" s="1"/>
    </row>
    <row r="887" spans="7:7" ht="12.75" customHeight="1">
      <c r="G887" s="1"/>
    </row>
    <row r="888" spans="7:7" ht="12.75" customHeight="1">
      <c r="G888" s="1"/>
    </row>
    <row r="889" spans="7:7" ht="12.75" customHeight="1">
      <c r="G889" s="1"/>
    </row>
    <row r="890" spans="7:7" ht="12.75" customHeight="1">
      <c r="G890" s="1"/>
    </row>
    <row r="891" spans="7:7" ht="12.75" customHeight="1">
      <c r="G891" s="1"/>
    </row>
    <row r="892" spans="7:7" ht="12.75" customHeight="1">
      <c r="G892" s="1"/>
    </row>
    <row r="893" spans="7:7" ht="12.75" customHeight="1">
      <c r="G893" s="1"/>
    </row>
    <row r="894" spans="7:7" ht="12.75" customHeight="1">
      <c r="G894" s="1"/>
    </row>
    <row r="895" spans="7:7" ht="12.75" customHeight="1">
      <c r="G895" s="1"/>
    </row>
    <row r="896" spans="7:7" ht="12.75" customHeight="1">
      <c r="G896" s="1"/>
    </row>
    <row r="897" spans="7:7" ht="12.75" customHeight="1">
      <c r="G897" s="1"/>
    </row>
    <row r="898" spans="7:7" ht="12.75" customHeight="1">
      <c r="G898" s="1"/>
    </row>
    <row r="899" spans="7:7" ht="12.75" customHeight="1">
      <c r="G899" s="1"/>
    </row>
    <row r="900" spans="7:7" ht="12.75" customHeight="1">
      <c r="G900" s="1"/>
    </row>
    <row r="901" spans="7:7" ht="12.75" customHeight="1">
      <c r="G901" s="1"/>
    </row>
    <row r="902" spans="7:7" ht="12.75" customHeight="1">
      <c r="G902" s="1"/>
    </row>
    <row r="903" spans="7:7" ht="12.75" customHeight="1">
      <c r="G903" s="1"/>
    </row>
    <row r="904" spans="7:7" ht="12.75" customHeight="1">
      <c r="G904" s="1"/>
    </row>
    <row r="905" spans="7:7" ht="12.75" customHeight="1">
      <c r="G905" s="1"/>
    </row>
    <row r="906" spans="7:7" ht="12.75" customHeight="1">
      <c r="G906" s="1"/>
    </row>
    <row r="907" spans="7:7" ht="12.75" customHeight="1">
      <c r="G907" s="1"/>
    </row>
    <row r="908" spans="7:7" ht="12.75" customHeight="1">
      <c r="G908" s="1"/>
    </row>
    <row r="909" spans="7:7" ht="12.75" customHeight="1">
      <c r="G909" s="1"/>
    </row>
    <row r="910" spans="7:7" ht="12.75" customHeight="1">
      <c r="G910" s="1"/>
    </row>
    <row r="911" spans="7:7" ht="12.75" customHeight="1">
      <c r="G911" s="1"/>
    </row>
    <row r="912" spans="7:7" ht="12.75" customHeight="1">
      <c r="G912" s="1"/>
    </row>
    <row r="913" spans="7:7" ht="12.75" customHeight="1">
      <c r="G913" s="1"/>
    </row>
    <row r="914" spans="7:7" ht="12.75" customHeight="1">
      <c r="G914" s="1"/>
    </row>
    <row r="915" spans="7:7" ht="12.75" customHeight="1">
      <c r="G915" s="1"/>
    </row>
    <row r="916" spans="7:7" ht="12.75" customHeight="1">
      <c r="G916" s="1"/>
    </row>
    <row r="917" spans="7:7" ht="12.75" customHeight="1">
      <c r="G917" s="1"/>
    </row>
    <row r="918" spans="7:7" ht="12.75" customHeight="1">
      <c r="G918" s="1"/>
    </row>
    <row r="919" spans="7:7" ht="12.75" customHeight="1">
      <c r="G919" s="1"/>
    </row>
    <row r="920" spans="7:7" ht="12.75" customHeight="1">
      <c r="G920" s="1"/>
    </row>
    <row r="921" spans="7:7" ht="12.75" customHeight="1">
      <c r="G921" s="1"/>
    </row>
    <row r="922" spans="7:7" ht="12.75" customHeight="1">
      <c r="G922" s="1"/>
    </row>
    <row r="923" spans="7:7" ht="12.75" customHeight="1">
      <c r="G923" s="1"/>
    </row>
    <row r="924" spans="7:7" ht="12.75" customHeight="1">
      <c r="G924" s="1"/>
    </row>
    <row r="925" spans="7:7" ht="12.75" customHeight="1">
      <c r="G925" s="1"/>
    </row>
    <row r="926" spans="7:7" ht="12.75" customHeight="1">
      <c r="G926" s="1"/>
    </row>
    <row r="927" spans="7:7" ht="12.75" customHeight="1">
      <c r="G927" s="1"/>
    </row>
    <row r="928" spans="7:7" ht="12.75" customHeight="1">
      <c r="G928" s="1"/>
    </row>
    <row r="929" spans="7:7" ht="12.75" customHeight="1">
      <c r="G929" s="1"/>
    </row>
    <row r="930" spans="7:7" ht="12.75" customHeight="1">
      <c r="G930" s="1"/>
    </row>
    <row r="931" spans="7:7" ht="12.75" customHeight="1">
      <c r="G931" s="1"/>
    </row>
    <row r="932" spans="7:7" ht="12.75" customHeight="1">
      <c r="G932" s="1"/>
    </row>
    <row r="933" spans="7:7" ht="12.75" customHeight="1">
      <c r="G933" s="1"/>
    </row>
    <row r="934" spans="7:7" ht="12.75" customHeight="1">
      <c r="G934" s="1"/>
    </row>
    <row r="935" spans="7:7" ht="12.75" customHeight="1">
      <c r="G935" s="1"/>
    </row>
    <row r="936" spans="7:7" ht="12.75" customHeight="1">
      <c r="G936" s="1"/>
    </row>
    <row r="937" spans="7:7" ht="12.75" customHeight="1">
      <c r="G937" s="1"/>
    </row>
    <row r="938" spans="7:7" ht="12.75" customHeight="1">
      <c r="G938" s="1"/>
    </row>
    <row r="939" spans="7:7" ht="12.75" customHeight="1">
      <c r="G939" s="1"/>
    </row>
    <row r="940" spans="7:7" ht="12.75" customHeight="1">
      <c r="G940" s="1"/>
    </row>
    <row r="941" spans="7:7" ht="12.75" customHeight="1">
      <c r="G941" s="1"/>
    </row>
    <row r="942" spans="7:7" ht="12.75" customHeight="1">
      <c r="G942" s="1"/>
    </row>
    <row r="943" spans="7:7" ht="12.75" customHeight="1">
      <c r="G943" s="1"/>
    </row>
    <row r="944" spans="7:7" ht="12.75" customHeight="1">
      <c r="G944" s="1"/>
    </row>
    <row r="945" spans="7:7" ht="12.75" customHeight="1">
      <c r="G945" s="1"/>
    </row>
    <row r="946" spans="7:7" ht="12.75" customHeight="1">
      <c r="G946" s="1"/>
    </row>
    <row r="947" spans="7:7" ht="12.75" customHeight="1">
      <c r="G947" s="1"/>
    </row>
    <row r="948" spans="7:7" ht="12.75" customHeight="1">
      <c r="G948" s="1"/>
    </row>
    <row r="949" spans="7:7" ht="12.75" customHeight="1">
      <c r="G949" s="1"/>
    </row>
    <row r="950" spans="7:7" ht="12.75" customHeight="1">
      <c r="G950" s="1"/>
    </row>
    <row r="951" spans="7:7" ht="12.75" customHeight="1">
      <c r="G951" s="1"/>
    </row>
    <row r="952" spans="7:7" ht="12.75" customHeight="1">
      <c r="G952" s="1"/>
    </row>
    <row r="953" spans="7:7" ht="12.75" customHeight="1">
      <c r="G953" s="1"/>
    </row>
    <row r="954" spans="7:7" ht="12.75" customHeight="1">
      <c r="G954" s="1"/>
    </row>
    <row r="955" spans="7:7" ht="12.75" customHeight="1">
      <c r="G955" s="1"/>
    </row>
    <row r="956" spans="7:7" ht="12.75" customHeight="1">
      <c r="G956" s="1"/>
    </row>
    <row r="957" spans="7:7" ht="12.75" customHeight="1">
      <c r="G957" s="1"/>
    </row>
    <row r="958" spans="7:7" ht="12.75" customHeight="1">
      <c r="G958" s="1"/>
    </row>
    <row r="959" spans="7:7" ht="12.75" customHeight="1">
      <c r="G959" s="1"/>
    </row>
    <row r="960" spans="7:7" ht="12.75" customHeight="1">
      <c r="G960" s="1"/>
    </row>
    <row r="961" spans="7:7" ht="12.75" customHeight="1">
      <c r="G961" s="1"/>
    </row>
    <row r="962" spans="7:7" ht="12.75" customHeight="1">
      <c r="G962" s="1"/>
    </row>
    <row r="963" spans="7:7" ht="12.75" customHeight="1">
      <c r="G963" s="1"/>
    </row>
    <row r="964" spans="7:7" ht="12.75" customHeight="1">
      <c r="G964" s="1"/>
    </row>
    <row r="965" spans="7:7" ht="12.75" customHeight="1">
      <c r="G965" s="1"/>
    </row>
    <row r="966" spans="7:7" ht="12.75" customHeight="1">
      <c r="G966" s="1"/>
    </row>
    <row r="967" spans="7:7" ht="12.75" customHeight="1">
      <c r="G967" s="1"/>
    </row>
    <row r="968" spans="7:7" ht="12.75" customHeight="1">
      <c r="G968" s="1"/>
    </row>
    <row r="969" spans="7:7" ht="12.75" customHeight="1">
      <c r="G969" s="1"/>
    </row>
    <row r="970" spans="7:7" ht="12.75" customHeight="1">
      <c r="G970" s="1"/>
    </row>
    <row r="971" spans="7:7" ht="12.75" customHeight="1">
      <c r="G971" s="1"/>
    </row>
    <row r="972" spans="7:7" ht="12.75" customHeight="1">
      <c r="G972" s="1"/>
    </row>
    <row r="973" spans="7:7" ht="12.75" customHeight="1">
      <c r="G973" s="1"/>
    </row>
    <row r="974" spans="7:7" ht="12.75" customHeight="1">
      <c r="G974" s="1"/>
    </row>
    <row r="975" spans="7:7" ht="12.75" customHeight="1">
      <c r="G975" s="1"/>
    </row>
    <row r="976" spans="7:7" ht="12.75" customHeight="1">
      <c r="G976" s="1"/>
    </row>
    <row r="977" spans="7:7" ht="12.75" customHeight="1">
      <c r="G977" s="1"/>
    </row>
    <row r="978" spans="7:7" ht="12.75" customHeight="1">
      <c r="G978" s="1"/>
    </row>
    <row r="979" spans="7:7" ht="12.75" customHeight="1">
      <c r="G979" s="1"/>
    </row>
    <row r="980" spans="7:7" ht="12.75" customHeight="1">
      <c r="G980" s="1"/>
    </row>
    <row r="981" spans="7:7" ht="12.75" customHeight="1">
      <c r="G981" s="1"/>
    </row>
    <row r="982" spans="7:7" ht="12.75" customHeight="1">
      <c r="G982" s="1"/>
    </row>
    <row r="983" spans="7:7" ht="12.75" customHeight="1">
      <c r="G983" s="1"/>
    </row>
    <row r="984" spans="7:7" ht="12.75" customHeight="1">
      <c r="G984" s="1"/>
    </row>
    <row r="985" spans="7:7" ht="12.75" customHeight="1">
      <c r="G985" s="1"/>
    </row>
    <row r="986" spans="7:7" ht="12.75" customHeight="1">
      <c r="G986" s="1"/>
    </row>
    <row r="987" spans="7:7" ht="12.75" customHeight="1">
      <c r="G987" s="1"/>
    </row>
    <row r="988" spans="7:7" ht="12.75" customHeight="1">
      <c r="G988" s="1"/>
    </row>
    <row r="989" spans="7:7" ht="12.75" customHeight="1">
      <c r="G989" s="1"/>
    </row>
    <row r="990" spans="7:7" ht="12.75" customHeight="1">
      <c r="G990" s="1"/>
    </row>
    <row r="991" spans="7:7" ht="12.75" customHeight="1">
      <c r="G991" s="1"/>
    </row>
    <row r="992" spans="7:7" ht="12.75" customHeight="1">
      <c r="G992" s="1"/>
    </row>
    <row r="993" spans="7:7" ht="12.75" customHeight="1">
      <c r="G993" s="1"/>
    </row>
    <row r="994" spans="7:7" ht="12.75" customHeight="1">
      <c r="G994" s="1"/>
    </row>
    <row r="995" spans="7:7" ht="12.75" customHeight="1">
      <c r="G995" s="1"/>
    </row>
    <row r="996" spans="7:7" ht="12.75" customHeight="1">
      <c r="G996" s="1"/>
    </row>
    <row r="997" spans="7:7" ht="12.75" customHeight="1">
      <c r="G997" s="1"/>
    </row>
    <row r="998" spans="7:7" ht="12.75" customHeight="1">
      <c r="G998" s="1"/>
    </row>
    <row r="999" spans="7:7" ht="12.75" customHeight="1">
      <c r="G999" s="1"/>
    </row>
    <row r="1000" spans="7:7" ht="12.75" customHeight="1">
      <c r="G1000" s="1"/>
    </row>
  </sheetData>
  <sheetProtection algorithmName="SHA-512" hashValue="8mx1+MeUn4xwwX5klMMeFYzjdbd8/euXDXnjylGjKw048wVRB+vrbtcRIor2WMnGs7ocN5qflJlosmmSfgkXyQ==" saltValue="BlfWZcEh5r0sUOt9Y9ZG6Q==" spinCount="100000" sheet="1" objects="1" scenarios="1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topLeftCell="A120" workbookViewId="0">
      <selection activeCell="A138" sqref="A138"/>
    </sheetView>
  </sheetViews>
  <sheetFormatPr defaultColWidth="14.42578125" defaultRowHeight="15" customHeight="1"/>
  <cols>
    <col min="1" max="1" width="16.28515625" customWidth="1"/>
    <col min="2" max="3" width="8.7109375" customWidth="1"/>
    <col min="4" max="4" width="113.5703125" customWidth="1"/>
    <col min="5" max="26" width="8.7109375" customWidth="1"/>
  </cols>
  <sheetData>
    <row r="1" spans="1:26" ht="33.75" customHeight="1">
      <c r="A1" s="1"/>
      <c r="B1" s="1"/>
      <c r="C1" s="1"/>
      <c r="D1" s="128" t="s">
        <v>465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70" t="s">
        <v>466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 t="s">
        <v>461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 t="s">
        <v>462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 t="s">
        <v>463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 t="s">
        <v>437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 t="s">
        <v>438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 t="s">
        <v>439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 t="s">
        <v>440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>
      <c r="A12" s="70" t="s">
        <v>5</v>
      </c>
      <c r="B12" s="7"/>
      <c r="C12" s="7"/>
      <c r="D12" s="7"/>
      <c r="E12" s="16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>
      <c r="A13" s="1" t="s">
        <v>81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>
      <c r="A14" s="1" t="s">
        <v>119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>
      <c r="A15" s="1" t="s">
        <v>70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>
      <c r="A16" s="1" t="s">
        <v>135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>
      <c r="A17" s="1" t="s">
        <v>164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70" t="s">
        <v>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 t="s">
        <v>81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 t="s">
        <v>119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 t="s">
        <v>70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 t="s">
        <v>135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 t="s">
        <v>165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 t="s">
        <v>145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 t="s">
        <v>255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 t="s">
        <v>164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 customHeight="1">
      <c r="A38" s="70" t="s">
        <v>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 customHeight="1">
      <c r="A39" s="1" t="s">
        <v>157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>
      <c r="A40" s="1" t="s">
        <v>130</v>
      </c>
      <c r="B40" s="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customHeight="1">
      <c r="A41" s="1" t="s">
        <v>124</v>
      </c>
      <c r="B41" s="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customHeight="1">
      <c r="A42" s="1" t="s">
        <v>69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>
      <c r="A43" s="1" t="s">
        <v>102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>
      <c r="A44" s="1" t="s">
        <v>112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customHeight="1">
      <c r="A45" s="1" t="s">
        <v>95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customHeight="1">
      <c r="A46" s="1" t="s">
        <v>80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>
      <c r="A47" s="1" t="s">
        <v>108</v>
      </c>
      <c r="B47" s="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customHeight="1">
      <c r="A48" s="1" t="s">
        <v>251</v>
      </c>
      <c r="B48" s="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 customHeight="1">
      <c r="A54" s="1"/>
      <c r="B54" s="1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customHeight="1">
      <c r="A55" s="70" t="s">
        <v>7</v>
      </c>
      <c r="B55" s="1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customHeight="1">
      <c r="A56" s="1" t="s">
        <v>113</v>
      </c>
      <c r="B56" s="1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customHeight="1">
      <c r="A57" s="1" t="s">
        <v>146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customHeight="1">
      <c r="A58" s="1" t="s">
        <v>103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customHeight="1">
      <c r="A59" s="1" t="s">
        <v>114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 customHeight="1">
      <c r="A60" s="1" t="s">
        <v>109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 customHeight="1">
      <c r="A61" s="1" t="s">
        <v>71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customHeight="1">
      <c r="A62" s="1" t="s">
        <v>75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 t="s">
        <v>84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 t="s">
        <v>89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84" t="s">
        <v>133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84" t="s">
        <v>277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84" t="s">
        <v>467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>
      <c r="A71" s="70" t="s">
        <v>35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>
      <c r="A72" s="1" t="s">
        <v>73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customHeight="1">
      <c r="A73" s="1" t="s">
        <v>136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>
      <c r="A74" s="1" t="s">
        <v>468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>
      <c r="A75" s="1" t="s">
        <v>469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>
      <c r="A76" s="1" t="s">
        <v>470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>
      <c r="A84" s="70" t="s">
        <v>36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>
      <c r="A85" s="1" t="s">
        <v>74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>
      <c r="A86" s="1" t="s">
        <v>126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>
      <c r="A87" s="1" t="s">
        <v>442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>
      <c r="A88" s="1" t="s">
        <v>471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>
      <c r="A96" s="70" t="s">
        <v>64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>
      <c r="A97" s="1" t="s">
        <v>120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>
      <c r="A98" s="1" t="s">
        <v>214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>
      <c r="A99" s="1" t="s">
        <v>335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 t="s">
        <v>472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>
      <c r="A106" s="70" t="s">
        <v>464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>
      <c r="A107" s="1" t="s">
        <v>76</v>
      </c>
      <c r="B107" s="1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>
      <c r="A108" s="1" t="s">
        <v>65</v>
      </c>
      <c r="B108" s="1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>
      <c r="A109" s="1" t="s">
        <v>91</v>
      </c>
      <c r="B109" s="1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>
      <c r="A110" s="1" t="s">
        <v>142</v>
      </c>
      <c r="B110" s="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>
      <c r="A111" s="1" t="s">
        <v>98</v>
      </c>
      <c r="B111" s="1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>
      <c r="A112" s="1" t="s">
        <v>441</v>
      </c>
      <c r="B112" s="1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>
      <c r="A119" s="70" t="s">
        <v>473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>
      <c r="A120" s="1" t="s">
        <v>474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>
      <c r="A121" s="1" t="s">
        <v>475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>
      <c r="A122" s="1" t="s">
        <v>476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hidden="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1" ht="12.75" customHeight="1">
      <c r="A129" s="70" t="s">
        <v>477</v>
      </c>
    </row>
    <row r="130" spans="1:1" ht="12.75" customHeight="1">
      <c r="A130" s="1" t="s">
        <v>478</v>
      </c>
    </row>
    <row r="131" spans="1:1" ht="12.75" customHeight="1">
      <c r="A131" s="1" t="s">
        <v>479</v>
      </c>
    </row>
    <row r="132" spans="1:1" ht="12.75" customHeight="1">
      <c r="A132" s="1" t="s">
        <v>480</v>
      </c>
    </row>
    <row r="133" spans="1:1" ht="12.75" customHeight="1">
      <c r="A133" s="1" t="s">
        <v>481</v>
      </c>
    </row>
    <row r="134" spans="1:1" ht="12.75" customHeight="1">
      <c r="A134" s="1" t="s">
        <v>482</v>
      </c>
    </row>
    <row r="135" spans="1:1" ht="12.75" customHeight="1">
      <c r="A135" s="1" t="s">
        <v>483</v>
      </c>
    </row>
    <row r="136" spans="1:1" ht="12.75" customHeight="1">
      <c r="A136" s="1" t="s">
        <v>484</v>
      </c>
    </row>
    <row r="137" spans="1:1" ht="12.75" customHeight="1">
      <c r="A137" s="7"/>
    </row>
    <row r="138" spans="1:1" ht="12.75" customHeight="1">
      <c r="A138" s="446" t="s">
        <v>486</v>
      </c>
    </row>
    <row r="139" spans="1:1" ht="12.75" customHeight="1">
      <c r="A139" s="447" t="s">
        <v>488</v>
      </c>
    </row>
    <row r="140" spans="1:1" ht="12.75" customHeight="1">
      <c r="A140" s="447" t="s">
        <v>489</v>
      </c>
    </row>
    <row r="141" spans="1:1" ht="12.75" customHeight="1">
      <c r="A141" s="447" t="s">
        <v>490</v>
      </c>
    </row>
    <row r="142" spans="1:1" ht="12.75" customHeight="1">
      <c r="A142" s="447" t="s">
        <v>491</v>
      </c>
    </row>
    <row r="143" spans="1:1" ht="12.75" customHeight="1">
      <c r="A143" s="7"/>
    </row>
    <row r="144" spans="1:1" ht="12.75" customHeight="1">
      <c r="A144" s="7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TB5IovS7VuemOqkU20+vRR/vXK8Lwy8OwHF5nQx0DxjZuIawhNpF7oBXfPUp1b71nazTxCIZUzcAY9SL3wmQrw==" saltValue="v3Oj26W344oZ9BmJaEYC5g==" spinCount="100000" sheet="1" objects="1" scenarios="1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SHIP</vt:lpstr>
      <vt:lpstr>HNDA</vt:lpstr>
      <vt:lpstr>Codes</vt:lpstr>
      <vt:lpstr>SHIP!Z_4152F0B9_19B5_4C6B_8D90_A0D2122B3DF4_.wvu.Cols</vt:lpstr>
      <vt:lpstr>SHIP!Z_4152F0B9_19B5_4C6B_8D90_A0D2122B3DF4_.wvu.PrintArea</vt:lpstr>
      <vt:lpstr>SHIP!Z_763FB377_2A2B_40B6_95FA_DD2F7DF8451C_.wvu.PrintArea</vt:lpstr>
      <vt:lpstr>SHIP!Z_885E3832_2392_4536_9D29_804F77E0898D_.wvu.PrintArea</vt:lpstr>
      <vt:lpstr>SHIP!Z_DE77D031_6D60_4F52_8270_9073ACBC13A3_.wvu.PrintArea</vt:lpstr>
      <vt:lpstr>SHIP!Z_E2B9DD21_C108_447F_AD7D_6D9F39B52885_.wvu.PrintArea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U207141</dc:creator>
  <cp:lastModifiedBy>Angela Kay</cp:lastModifiedBy>
  <dcterms:created xsi:type="dcterms:W3CDTF">2012-08-10T08:58:37Z</dcterms:created>
  <dcterms:modified xsi:type="dcterms:W3CDTF">2021-04-01T09:51:51Z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A8935817</vt:lpwstr>
  </property>
  <property fmtid="{D5CDD505-2E9C-101B-9397-08002B2CF9AE}" pid="3" name="Objective-Title">
    <vt:lpwstr>Affordable Housing Supply - Strategic Local Programme Agreement (SLPA) - 2015-16  2018-19 - Scottish Borders -ongoing</vt:lpwstr>
  </property>
  <property fmtid="{D5CDD505-2E9C-101B-9397-08002B2CF9AE}" pid="4" name="Objective-Comment">
    <vt:lpwstr/>
  </property>
  <property fmtid="{D5CDD505-2E9C-101B-9397-08002B2CF9AE}" pid="5" name="Objective-CreationStamp">
    <vt:filetime>2014-07-25T07:51:48Z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2014-08-14T15:03:53Z</vt:filetime>
  </property>
  <property fmtid="{D5CDD505-2E9C-101B-9397-08002B2CF9AE}" pid="10" name="Objective-Owner">
    <vt:lpwstr>Liddle, Gordon G (U206715)</vt:lpwstr>
  </property>
  <property fmtid="{D5CDD505-2E9C-101B-9397-08002B2CF9AE}" pid="11" name="Objective-Path">
    <vt:lpwstr>Objective Global Folder:SG File Plan:People, communities and living:Housing:Social housing:Committees and groups: Social housing:Strategic Engagement with Partners: Scottish Borders Council: Papers and minutes: 2014-2019:</vt:lpwstr>
  </property>
  <property fmtid="{D5CDD505-2E9C-101B-9397-08002B2CF9AE}" pid="12" name="Objective-Parent">
    <vt:lpwstr>Strategic Engagement with Partners: Scottish Borders Council: Papers and minutes: 2014-2019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0.11</vt:lpwstr>
  </property>
  <property fmtid="{D5CDD505-2E9C-101B-9397-08002B2CF9AE}" pid="15" name="Objective-VersionNumber">
    <vt:i4>11</vt:i4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Not Protectively Marked]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